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DSWD\Desktop\annual procurement plan 2024\"/>
    </mc:Choice>
  </mc:AlternateContent>
  <xr:revisionPtr revIDLastSave="0" documentId="8_{176CA734-85DC-4594-B370-075DB416CC7B}" xr6:coauthVersionLast="47" xr6:coauthVersionMax="47" xr10:uidLastSave="{00000000-0000-0000-0000-000000000000}"/>
  <bookViews>
    <workbookView xWindow="-110" yWindow="-110" windowWidth="19420" windowHeight="11500" xr2:uid="{00000000-000D-0000-FFFF-FFFF00000000}"/>
  </bookViews>
  <sheets>
    <sheet name="app" sheetId="1" r:id="rId1"/>
    <sheet name="how_to_fill_out-definitions" sheetId="2" r:id="rId2"/>
    <sheet name="data_validation" sheetId="3" state="hidden" r:id="rId3"/>
  </sheets>
  <externalReferences>
    <externalReference r:id="rId4"/>
  </externalReferences>
  <definedNames>
    <definedName name="_xlnm.Print_Area" localSheetId="0">app!$A$1:$M$304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19" i="1" l="1"/>
  <c r="K219" i="1"/>
  <c r="K115" i="1"/>
  <c r="J250" i="1"/>
  <c r="J260" i="1"/>
  <c r="K260" i="1" s="1"/>
  <c r="K108" i="1"/>
  <c r="J162" i="1"/>
  <c r="J134" i="1"/>
  <c r="J270" i="1"/>
  <c r="J104" i="1"/>
  <c r="J93" i="1"/>
  <c r="J20" i="1"/>
  <c r="J183" i="1"/>
  <c r="K183" i="1" s="1"/>
  <c r="K149" i="1"/>
  <c r="K85" i="1"/>
  <c r="J168" i="1"/>
  <c r="K117" i="1" l="1"/>
  <c r="J148" i="1" l="1"/>
  <c r="J131" i="1" l="1"/>
  <c r="J167" i="1"/>
  <c r="J137" i="1"/>
  <c r="J81" i="1"/>
  <c r="K81" i="1" s="1"/>
  <c r="J82" i="1"/>
  <c r="J169" i="1"/>
  <c r="J195" i="1"/>
  <c r="K195" i="1" s="1"/>
  <c r="K194" i="1"/>
  <c r="K196" i="1"/>
  <c r="K148" i="1"/>
  <c r="J147" i="1"/>
  <c r="J40" i="1"/>
  <c r="J38" i="1"/>
  <c r="K38" i="1" s="1"/>
  <c r="J214" i="1"/>
  <c r="K214" i="1" s="1"/>
  <c r="J182" i="1" l="1"/>
  <c r="K182" i="1" s="1"/>
  <c r="K82" i="1"/>
  <c r="K40" i="1"/>
  <c r="K109" i="1"/>
  <c r="K63" i="1"/>
  <c r="J69" i="1"/>
  <c r="J70" i="1"/>
  <c r="J71" i="1"/>
  <c r="J73" i="1"/>
  <c r="J75" i="1"/>
  <c r="J77" i="1"/>
  <c r="J96" i="1"/>
  <c r="J97" i="1"/>
  <c r="J98" i="1"/>
  <c r="J99" i="1"/>
  <c r="J100" i="1"/>
  <c r="J103" i="1"/>
  <c r="J110" i="1"/>
  <c r="J111" i="1"/>
  <c r="K112" i="1"/>
  <c r="J113" i="1"/>
  <c r="K113" i="1" s="1"/>
  <c r="J114" i="1"/>
  <c r="K114" i="1" s="1"/>
  <c r="J116" i="1"/>
  <c r="J128" i="1"/>
  <c r="J130" i="1"/>
  <c r="J133" i="1"/>
  <c r="J135" i="1"/>
  <c r="J136" i="1"/>
  <c r="J138" i="1"/>
  <c r="J142" i="1"/>
  <c r="K142" i="1" s="1"/>
  <c r="J143" i="1"/>
  <c r="K143" i="1" s="1"/>
  <c r="J144" i="1"/>
  <c r="K144" i="1" s="1"/>
  <c r="K145" i="1"/>
  <c r="K146" i="1"/>
  <c r="K147" i="1"/>
  <c r="J150" i="1"/>
  <c r="K150" i="1" s="1"/>
  <c r="K155" i="1"/>
  <c r="J161" i="1"/>
  <c r="J164" i="1"/>
  <c r="J165" i="1"/>
  <c r="J166" i="1"/>
  <c r="J170" i="1"/>
  <c r="J172" i="1"/>
  <c r="J191" i="1" l="1"/>
  <c r="J197" i="1"/>
  <c r="J199" i="1"/>
  <c r="J200" i="1"/>
  <c r="J201" i="1"/>
  <c r="J203" i="1"/>
  <c r="J205" i="1"/>
  <c r="J207" i="1"/>
  <c r="J208" i="1"/>
  <c r="K254" i="1"/>
  <c r="K255" i="1"/>
  <c r="K256" i="1"/>
  <c r="K257" i="1"/>
  <c r="K258" i="1"/>
  <c r="K259" i="1"/>
  <c r="K261" i="1"/>
  <c r="K262" i="1"/>
  <c r="K263" i="1"/>
  <c r="K264" i="1"/>
  <c r="K265" i="1"/>
  <c r="K266" i="1"/>
  <c r="K267" i="1"/>
  <c r="K268" i="1"/>
  <c r="K269" i="1"/>
  <c r="K270" i="1"/>
  <c r="K271" i="1"/>
  <c r="K272" i="1"/>
  <c r="K273" i="1"/>
  <c r="K274" i="1"/>
  <c r="K275" i="1"/>
  <c r="K276" i="1"/>
  <c r="K277" i="1"/>
  <c r="K278" i="1"/>
  <c r="K279" i="1"/>
  <c r="J280" i="1"/>
  <c r="K280" i="1" s="1"/>
  <c r="K281" i="1"/>
  <c r="K282" i="1"/>
  <c r="K283" i="1"/>
  <c r="K222" i="1"/>
  <c r="K228" i="1" l="1"/>
  <c r="K217" i="1"/>
  <c r="K181" i="1"/>
  <c r="K12" i="1"/>
  <c r="K80" i="1"/>
  <c r="K11" i="1"/>
  <c r="K10" i="1"/>
  <c r="K9" i="1"/>
  <c r="K119" i="1"/>
  <c r="K120" i="1"/>
  <c r="K121" i="1"/>
  <c r="K122" i="1"/>
  <c r="K154" i="1"/>
  <c r="K6" i="1" l="1"/>
  <c r="K55" i="1"/>
  <c r="K153" i="1"/>
  <c r="K52" i="1"/>
  <c r="K51" i="1"/>
  <c r="K53" i="1" l="1"/>
  <c r="K151" i="1"/>
  <c r="K116" i="1"/>
  <c r="K37" i="1"/>
  <c r="K26" i="1" l="1"/>
  <c r="K246" i="1"/>
  <c r="K140" i="1"/>
  <c r="K229" i="1"/>
  <c r="K245" i="1"/>
  <c r="K244" i="1"/>
  <c r="K243" i="1"/>
  <c r="K253" i="1"/>
  <c r="K247" i="1"/>
  <c r="K216" i="1" l="1"/>
  <c r="K215" i="1"/>
  <c r="K213" i="1"/>
  <c r="K96" i="1" l="1"/>
  <c r="K78" i="1"/>
  <c r="K95" i="1"/>
  <c r="K84" i="1"/>
  <c r="K77" i="1"/>
  <c r="K79" i="1"/>
  <c r="K94" i="1"/>
  <c r="K106" i="1"/>
  <c r="K76" i="1"/>
  <c r="K93" i="1"/>
  <c r="K75" i="1"/>
  <c r="K105" i="1"/>
  <c r="K74" i="1"/>
  <c r="K104" i="1"/>
  <c r="K73" i="1"/>
  <c r="K103" i="1" l="1"/>
  <c r="K92" i="1"/>
  <c r="K72" i="1"/>
  <c r="K91" i="1"/>
  <c r="K71" i="1"/>
  <c r="K97" i="1"/>
  <c r="K70" i="1"/>
  <c r="K83" i="1"/>
  <c r="K90" i="1"/>
  <c r="K69" i="1"/>
  <c r="K89" i="1"/>
  <c r="K68" i="1"/>
  <c r="K102" i="1"/>
  <c r="K67" i="1"/>
  <c r="K101" i="1"/>
  <c r="K88" i="1"/>
  <c r="K87" i="1"/>
  <c r="K100" i="1"/>
  <c r="K86" i="1"/>
  <c r="J54" i="1"/>
  <c r="K54" i="1" s="1"/>
  <c r="K62" i="1"/>
  <c r="K98" i="1"/>
  <c r="K99" i="1"/>
  <c r="K61" i="1"/>
  <c r="K60" i="1"/>
  <c r="K59" i="1"/>
  <c r="K58" i="1"/>
  <c r="K57" i="1"/>
  <c r="K56" i="1"/>
  <c r="J49" i="1"/>
  <c r="K49" i="1" s="1"/>
  <c r="K107" i="1"/>
  <c r="K242" i="1" l="1"/>
  <c r="K252" i="1"/>
  <c r="K177" i="1"/>
  <c r="K45" i="1"/>
  <c r="K33" i="1"/>
  <c r="K197" i="1"/>
  <c r="K175" i="1"/>
  <c r="K174" i="1"/>
  <c r="K212" i="1"/>
  <c r="K173" i="1"/>
  <c r="K193" i="1"/>
  <c r="K211" i="1"/>
  <c r="K172" i="1"/>
  <c r="K176" i="1" l="1"/>
  <c r="K8" i="1"/>
  <c r="K141" i="1"/>
  <c r="K171" i="1"/>
  <c r="K223" i="1"/>
  <c r="K44" i="1"/>
  <c r="K43" i="1"/>
  <c r="K241" i="1"/>
  <c r="K139" i="1"/>
  <c r="K170" i="1"/>
  <c r="K138" i="1"/>
  <c r="K232" i="1"/>
  <c r="K233" i="1"/>
  <c r="K25" i="1"/>
  <c r="K210" i="1"/>
  <c r="K169" i="1"/>
  <c r="K32" i="1"/>
  <c r="K251" i="1"/>
  <c r="K240" i="1"/>
  <c r="K231" i="1"/>
  <c r="K24" i="1"/>
  <c r="K209" i="1"/>
  <c r="K168" i="1"/>
  <c r="K137" i="1"/>
  <c r="K136" i="1" l="1"/>
  <c r="K167" i="1"/>
  <c r="K208" i="1"/>
  <c r="K192" i="1"/>
  <c r="K239" i="1"/>
  <c r="K7" i="1"/>
  <c r="K47" i="1"/>
  <c r="K135" i="1"/>
  <c r="K166" i="1"/>
  <c r="K134" i="1"/>
  <c r="K165" i="1"/>
  <c r="K23" i="1" l="1"/>
  <c r="K20" i="1"/>
  <c r="K35" i="1"/>
  <c r="K191" i="1"/>
  <c r="K238" i="1"/>
  <c r="K133" i="1"/>
  <c r="K207" i="1"/>
  <c r="K226" i="1"/>
  <c r="K164" i="1"/>
  <c r="K132" i="1"/>
  <c r="K206" i="1"/>
  <c r="K224" i="1"/>
  <c r="K190" i="1"/>
  <c r="K163" i="1"/>
  <c r="K19" i="1"/>
  <c r="K205" i="1"/>
  <c r="K162" i="1"/>
  <c r="K131" i="1"/>
  <c r="K250" i="1"/>
  <c r="K46" i="1"/>
  <c r="K111" i="1"/>
  <c r="K18" i="1"/>
  <c r="K17" i="1"/>
  <c r="K42" i="1"/>
  <c r="K189" i="1"/>
  <c r="K161" i="1"/>
  <c r="K31" i="1"/>
  <c r="J41" i="1"/>
  <c r="K41" i="1" s="1"/>
  <c r="K237" i="1"/>
  <c r="K36" i="1"/>
  <c r="K221" i="1"/>
  <c r="K130" i="1"/>
  <c r="K188" i="1"/>
  <c r="K129" i="1"/>
  <c r="K160" i="1"/>
  <c r="K204" i="1"/>
  <c r="J16" i="1"/>
  <c r="K16" i="1" s="1"/>
  <c r="K236" i="1"/>
  <c r="K128" i="1"/>
  <c r="K187" i="1"/>
  <c r="K235" i="1"/>
  <c r="K27" i="1"/>
  <c r="K186" i="1"/>
  <c r="K30" i="1"/>
  <c r="K127" i="1"/>
  <c r="K159" i="1"/>
  <c r="K184" i="1"/>
  <c r="K15" i="1"/>
  <c r="K28" i="1"/>
  <c r="K14" i="1"/>
  <c r="K185" i="1"/>
  <c r="K22" i="1"/>
  <c r="K203" i="1"/>
  <c r="K39" i="1"/>
  <c r="K158" i="1"/>
  <c r="K198" i="1"/>
  <c r="J29" i="1"/>
  <c r="K34" i="1"/>
  <c r="J48" i="1"/>
  <c r="K48" i="1" s="1"/>
  <c r="K202" i="1"/>
  <c r="K249" i="1"/>
  <c r="K5" i="1"/>
  <c r="K234" i="1"/>
  <c r="J13" i="1"/>
  <c r="K50" i="1"/>
  <c r="K201" i="1"/>
  <c r="K157" i="1"/>
  <c r="J125" i="1"/>
  <c r="K156" i="1"/>
  <c r="J124" i="1"/>
  <c r="K124" i="1" s="1"/>
  <c r="K13" i="1" l="1"/>
  <c r="K248" i="1"/>
  <c r="K230" i="1"/>
  <c r="K200" i="1"/>
  <c r="K225" i="1"/>
  <c r="J21" i="1"/>
  <c r="J288" i="1" s="1"/>
  <c r="K110" i="1"/>
  <c r="K199" i="1"/>
  <c r="J123" i="1"/>
  <c r="K123" i="1" s="1"/>
  <c r="J152" i="1"/>
  <c r="K152" i="1" s="1"/>
  <c r="K118" i="1"/>
  <c r="K29" i="1"/>
  <c r="K288" i="1" l="1"/>
  <c r="K21" i="1"/>
  <c r="F11" i="2" l="1"/>
</calcChain>
</file>

<file path=xl/sharedStrings.xml><?xml version="1.0" encoding="utf-8"?>
<sst xmlns="http://schemas.openxmlformats.org/spreadsheetml/2006/main" count="2605" uniqueCount="389">
  <si>
    <t>Department of Budget and Management Procurement Monitoring Report as of month/day/2006</t>
  </si>
  <si>
    <t>Code (PAP)</t>
  </si>
  <si>
    <t>Procurement     Program/Project</t>
  </si>
  <si>
    <t>PMO/             End-User</t>
  </si>
  <si>
    <t>Mode of Procurement</t>
  </si>
  <si>
    <t>Schedule for Each Procurement Activity</t>
  </si>
  <si>
    <t>Source of Funds</t>
  </si>
  <si>
    <t>Estimated Budget (PhP)</t>
  </si>
  <si>
    <t>Remarks                                                                        (brief description of Program/Activity/Project)</t>
  </si>
  <si>
    <t>Contract Cost (PhP)</t>
  </si>
  <si>
    <t>List of Invited Observers</t>
  </si>
  <si>
    <t>Date of Receipt of Invitation</t>
  </si>
  <si>
    <t>Remarks                                                                        (Explaining changes from the APP)</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</si>
  <si>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</si>
  <si>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</si>
  <si>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</si>
  <si>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</si>
  <si>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</si>
  <si>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</si>
  <si>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</si>
  <si>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</si>
  <si>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</si>
  <si>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</si>
  <si>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</si>
  <si>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</si>
  <si>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</si>
  <si>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</si>
  <si>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</si>
  <si>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</si>
  <si>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</si>
  <si>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Competitive Bidding</t>
  </si>
  <si>
    <t>Limited Source Bidding</t>
  </si>
  <si>
    <t>Direct Contracting</t>
  </si>
  <si>
    <t>Repeat Order</t>
  </si>
  <si>
    <t>Shopping</t>
  </si>
  <si>
    <t>NP-53.1 Two Failed Biddings</t>
  </si>
  <si>
    <t>NP-53.2 Emergency Cases</t>
  </si>
  <si>
    <t>NP-53.3 Take-Over of Contracts</t>
  </si>
  <si>
    <t>NP-53.4 Adjacent or Contiguous</t>
  </si>
  <si>
    <t>NP-53.5 Agency-to-Agency</t>
  </si>
  <si>
    <t>NP-53.6 Scientific, Scholarly, Artistic Work, Exclusive Technology and Media Services</t>
  </si>
  <si>
    <t>NP-53.7 Highly Technical Consultants</t>
  </si>
  <si>
    <t>NP-53.8 Defense Cooperation Agreement</t>
  </si>
  <si>
    <t>NP-53.9 - Small Value Procurement</t>
  </si>
  <si>
    <t>NP-53.10 Lease of Real Property and Venue</t>
  </si>
  <si>
    <t>NP-53.11 NGO Participation</t>
  </si>
  <si>
    <t>NP-53.12 Community Participation</t>
  </si>
  <si>
    <t>NP-53.13 UN Agencies, Int'l Organizations or International Financing Institutions</t>
  </si>
  <si>
    <t>GUIDE TO PREPARE APP</t>
  </si>
  <si>
    <t>APP COLUMN HEADER/S</t>
  </si>
  <si>
    <t>STEP 1</t>
  </si>
  <si>
    <t>In the Code (PAP) column, kindly indicate the Procuring Entity's (PEs) internal numbering system or use the Unified Account Codes (UACS) may be used as PAP Codes. Please refer to Joint Circular No.2013-1 COA-DBM-DOF-Unified Accounts Code Structure.</t>
  </si>
  <si>
    <t>STEP 2</t>
  </si>
  <si>
    <t>For the Procurement Program/Project column, please align descriptions of program/projects with budget documents and ensure clarity and accuracy in describing each procurement program/project.</t>
  </si>
  <si>
    <t>STEP 3</t>
  </si>
  <si>
    <t>For PMO/End-User, please indicate the PMO/End-User unit who will implement/utilize the procurement program/project. Multiple end-user units are allowed only if the procurement activity was consolidated by the BAC to procure requirements of the end-user units.</t>
  </si>
  <si>
    <t>PMO/End-User</t>
  </si>
  <si>
    <t>STEP 4</t>
  </si>
  <si>
    <t>For Mode of Procurement and Schedule for Each Procurement Activity, all modes of procurement are available as a dropdown list and requirements for a specific schedule for Ads/Post of IB/REI, Sub/Open of Bids, Notice of Award, and/or Contract Signing are automatically identified thru the MS Excel formula. Note that for Foreign-funded procurement, please use Others - Foreign-funded procurement as the Mode of Procurement.
Kindly indicate a specific period (dates, month, quarter) when each Procurement Activity will be done. Please refer to our website: http://www.gppb.gov.ph/timelines/timelines.htm for the specific periods for each activity.
Note: For SVP, IB/REI is similar to RFQ.
Ads/Post of IB/REI for Shopping 52.1(b) and NP-SVP (53.9) needs to be posted in PhilGEPS for ABCs above 50k. Notice of Award posting in PhilGEPS is mandatory for all Alternative Modes only for ABCs above 50k.</t>
  </si>
  <si>
    <t>Ads/Post of IB/REI</t>
  </si>
  <si>
    <t>STEP 5</t>
  </si>
  <si>
    <t>For Source of Funds, a dropdown list is available. If the Source of Funds the PE will use is not included, please indicate "Others" and specify under the Remarks column.</t>
  </si>
  <si>
    <t>STEP 6</t>
  </si>
  <si>
    <t>For Estimated Budget (PhP), kindly fill out either MOOE or CO columns only. Total ABC column is not editable,  but will automatically compute for the total MOOE and CO components of the project. This breakdown is needed for tracking purposes. Finally, please ensure that amounts indicated are aligned with budget documents.</t>
  </si>
  <si>
    <t>STEP 7</t>
  </si>
  <si>
    <t>Before submission to the GPPB, ensure that the Head of the Procuring Entity (HoPE) approves/signs the APP.</t>
  </si>
  <si>
    <t>GENERAL INFORMATION</t>
  </si>
  <si>
    <t>#1</t>
  </si>
  <si>
    <t>All Cells with Fill Color Orange needs to be filled out by the Agency. This is a visual reminder of blank or improperly filled out cells.</t>
  </si>
  <si>
    <t>#2</t>
  </si>
  <si>
    <t>To ensure that automated indicator which procurement activity needs to be filled out with specific periods, PE must copy entire Excel row with the mode of procurement for the specific procurement program/project and paste on the last sample row "Negotiated Procurement-53.13" in the template.</t>
  </si>
  <si>
    <t>#3</t>
  </si>
  <si>
    <t>If PE wishes to edit formatting and design of borders, fonts, among others of the APP template, it is suggested to utilize the automated formulas in the template before copying contents and reformatting.</t>
  </si>
  <si>
    <t>#4</t>
  </si>
  <si>
    <t>Per Section of 3.1.1 of DBM Circular No. 2015-7, the Approved Budget for the Contract (ABC) shall be “[t]he amount reflected in the MYOA”. Hence, the ABC in the Annual Procurement Plan (APP) shall be the full amount stated in the MYOA with remarks added on how much will be actually disbursed for that particular fiscal year. Moreover, the Procurement Monitoring Report (PMR) should also reflect full amount in the MYOA if the entire contract was awarded within the fiscal year. Thus, for succeeding years, actual disbursements from the MYOA need not be reflected in the APPs and PMRs, unless current contract with MYOA is terminated and a new procurement activity is undertaken.</t>
  </si>
  <si>
    <t>DEFINITIONS</t>
  </si>
  <si>
    <r>
      <t>1. PROGRAM (BESF)</t>
    </r>
    <r>
      <rPr>
        <sz val="11"/>
        <color rgb="FF000000"/>
        <rFont val="Arial1"/>
      </rPr>
      <t xml:space="preserve">– A homogeneous group of activities necessary for the performance of a major purpose for </t>
    </r>
    <r>
      <rPr>
        <sz val="11"/>
        <color rgb="FF000000"/>
        <rFont val="Arial1"/>
      </rPr>
      <t xml:space="preserve">which a government agency is established, for the basic maintenance of the agency’s administrative operations or </t>
    </r>
    <r>
      <rPr>
        <sz val="11"/>
        <color rgb="FF000000"/>
        <rFont val="Arial1"/>
      </rPr>
      <t xml:space="preserve">for the provisions of staff support to the agency’s administrative operations or for the provisions of staff support to </t>
    </r>
    <r>
      <rPr>
        <sz val="11"/>
        <color rgb="FF000000"/>
        <rFont val="Arial1"/>
      </rPr>
      <t>the agency’s line functions.</t>
    </r>
  </si>
  <si>
    <r>
      <t>2. PROJECT (BESF)</t>
    </r>
    <r>
      <rPr>
        <sz val="11"/>
        <color rgb="FF000000"/>
        <rFont val="Arial1"/>
      </rPr>
      <t xml:space="preserve">– Special agency undertakings which are to be carried out within a definite time frame and </t>
    </r>
    <r>
      <rPr>
        <sz val="11"/>
        <color rgb="FF000000"/>
        <rFont val="Arial1"/>
      </rPr>
      <t>which are intended to result in some pre-determined measure of goods and services.</t>
    </r>
  </si>
  <si>
    <r>
      <t>3. PMO/End User</t>
    </r>
    <r>
      <rPr>
        <sz val="11"/>
        <color rgb="FF000000"/>
        <rFont val="Arial1"/>
      </rPr>
      <t xml:space="preserve"> - Unit as proponent of program or project</t>
    </r>
  </si>
  <si>
    <r>
      <t>4. Mode of Procurement</t>
    </r>
    <r>
      <rPr>
        <sz val="11"/>
        <color rgb="FF000000"/>
        <rFont val="Arial1"/>
      </rPr>
      <t xml:space="preserve"> - Competitive Bidding and Alternative Methods including: selective bidding, direct </t>
    </r>
    <r>
      <rPr>
        <sz val="11"/>
        <color rgb="FF000000"/>
        <rFont val="Arial1"/>
      </rPr>
      <t>contracting, repeat order, shopping, and negotiated procurement.</t>
    </r>
  </si>
  <si>
    <r>
      <t>5. Schedule for Each Procurement Activity</t>
    </r>
    <r>
      <rPr>
        <sz val="11"/>
        <color rgb="FF000000"/>
        <rFont val="Arial1"/>
      </rPr>
      <t xml:space="preserve"> - Major procurement activities (advertising/posting; submission and </t>
    </r>
    <r>
      <rPr>
        <sz val="11"/>
        <color rgb="FF000000"/>
        <rFont val="Arial1"/>
      </rPr>
      <t>receipt/Opening of bids;  award of contract; contract signing).</t>
    </r>
  </si>
  <si>
    <r>
      <t>6. Source of Funds</t>
    </r>
    <r>
      <rPr>
        <sz val="11"/>
        <color rgb="FF000000"/>
        <rFont val="Arial1"/>
      </rPr>
      <t xml:space="preserve"> - Whether GoP, Foreign Assisted or Special Purpose Fund</t>
    </r>
  </si>
  <si>
    <r>
      <t xml:space="preserve">7. Estimated Budget </t>
    </r>
    <r>
      <rPr>
        <sz val="11"/>
        <color rgb="FF000000"/>
        <rFont val="Arial1"/>
      </rPr>
      <t>- Agency approved estimate of project/program costs</t>
    </r>
  </si>
  <si>
    <r>
      <t>8. Remarks</t>
    </r>
    <r>
      <rPr>
        <sz val="11"/>
        <color rgb="FF000000"/>
        <rFont val="Arial1"/>
      </rPr>
      <t xml:space="preserve"> - brief description of program or project</t>
    </r>
  </si>
  <si>
    <t>GoP</t>
  </si>
  <si>
    <t>Foreign</t>
  </si>
  <si>
    <t>Special Purpose Fund</t>
  </si>
  <si>
    <t>Corporate Budget</t>
  </si>
  <si>
    <t>Income</t>
  </si>
  <si>
    <t>Others</t>
  </si>
  <si>
    <t>Others - Foreign-funded procurement</t>
  </si>
  <si>
    <t>COOKING GAS</t>
  </si>
  <si>
    <t>DRINKING WATER</t>
  </si>
  <si>
    <t>FOOD AND OTHER GROCERY ITEMS</t>
  </si>
  <si>
    <t>GENERAL MERCHANDISE</t>
  </si>
  <si>
    <t>TRAININGS, MEETINGS, SEMINAR, ORIENTATION (LIVE-OUT)</t>
  </si>
  <si>
    <t>TRAININGS, MEETINGS, SEMINARS, ORIENTATION (LIVE-IN)</t>
  </si>
  <si>
    <t>Head, BAC Secretariat</t>
  </si>
  <si>
    <t>Prepared By:</t>
  </si>
  <si>
    <t>Recommending Approval:</t>
  </si>
  <si>
    <t>Head of Budget</t>
  </si>
  <si>
    <t>BAC Chairperson</t>
  </si>
  <si>
    <t>Approved/Disapproved</t>
  </si>
  <si>
    <t>Regional Director</t>
  </si>
  <si>
    <t>N/A</t>
  </si>
  <si>
    <t>PANTAWID PAMILYANG PILIPINO PROGRAM</t>
  </si>
  <si>
    <t>APRIL</t>
  </si>
  <si>
    <t>LEASE OF REAL PROPERTY</t>
  </si>
  <si>
    <t>VEHICLE RENTAL</t>
  </si>
  <si>
    <t>PSD-CBS TARA</t>
  </si>
  <si>
    <t>PRINTING SERVICES</t>
  </si>
  <si>
    <t>HOME FOR GIRLS AND WOMEN</t>
  </si>
  <si>
    <t>NFA RICE</t>
  </si>
  <si>
    <t>BUILDING REPAIR AND MAINTENANCE</t>
  </si>
  <si>
    <t>OFFICE EQUIPMENT REPAIR AND MAINTENANCE</t>
  </si>
  <si>
    <t>APRIL - NOVEMBER, 2023</t>
  </si>
  <si>
    <t>APRIL, 2023</t>
  </si>
  <si>
    <t>APRIL - AUGUST, 2023</t>
  </si>
  <si>
    <t>MAY - SEPTEMBER, 2023</t>
  </si>
  <si>
    <t>APRIL - SEPTEMBER, 2023</t>
  </si>
  <si>
    <t>JULY - NOVEMBER, 2023</t>
  </si>
  <si>
    <t>MAY, 2023</t>
  </si>
  <si>
    <t>MARCH, 2023</t>
  </si>
  <si>
    <t>MARCH - JUNE, 2023</t>
  </si>
  <si>
    <t>JUNE, 2023</t>
  </si>
  <si>
    <t>PSD-CBSS/PWD</t>
  </si>
  <si>
    <t>PSD-CBSS / PWD</t>
  </si>
  <si>
    <t>MARCH - DECEMBER, 2023</t>
  </si>
  <si>
    <t>JUNE - DECEMBER, 2023</t>
  </si>
  <si>
    <t>MEDICINE AND MEDICAL SUPPLIES</t>
  </si>
  <si>
    <t>FUEL, OIL AND LUBRICANTS</t>
  </si>
  <si>
    <t>SEMI-EXPENDABLE-FURNITURES AND FIXTURE</t>
  </si>
  <si>
    <t>SEMI-EXPENDABLE - ICT EQUIPMENTS</t>
  </si>
  <si>
    <t>MARCH - OCTOBER, 2023</t>
  </si>
  <si>
    <t>ICT EQUIPMENT REPAIR AND MAINTENANCE</t>
  </si>
  <si>
    <t>WAREHOUSE RENTAL</t>
  </si>
  <si>
    <t>OFFICE BUILDING RENTAL</t>
  </si>
  <si>
    <t>DEVELOP INEO TONER</t>
  </si>
  <si>
    <t>MARCH - AUGUST, 2023</t>
  </si>
  <si>
    <t>MARCH - JULY, 2023</t>
  </si>
  <si>
    <t>PSD-SUPPLEMENTARY FEEDING PROGRAM</t>
  </si>
  <si>
    <t>SUPPLY AND DELIVERY OF NUTRIBUN</t>
  </si>
  <si>
    <t>SUPPLY AND DELIVERY OF FRESH MILK</t>
  </si>
  <si>
    <t>SUPPLY AND DELIVERY OF THE FOLLOWING COMMODITIES FOR THE HOTMEALS</t>
  </si>
  <si>
    <t>EPAHP</t>
  </si>
  <si>
    <t>FEBRUARY, 2023</t>
  </si>
  <si>
    <t>JANUARY - DECEMBER, 2023</t>
  </si>
  <si>
    <t>ACCOUNTABLE FORMS</t>
  </si>
  <si>
    <t>KC-NCCDP-AF</t>
  </si>
  <si>
    <t>JULY - DECEMBER, 2023</t>
  </si>
  <si>
    <t>VEHICLE REPAIR AND MAINTENANCE</t>
  </si>
  <si>
    <t>KC-KKB</t>
  </si>
  <si>
    <t>JULY, 2023</t>
  </si>
  <si>
    <t>MAY - JULY, 2023</t>
  </si>
  <si>
    <t>DECEMBER, 2023</t>
  </si>
  <si>
    <t>CONSOLIDATED ACTIVITIES OF THE DIVISION</t>
  </si>
  <si>
    <t>CONSOLIDATED ACTIVITIES OF THE SECTION</t>
  </si>
  <si>
    <t>CONSOLIDATED ACTIVITIES OF THE SECTOR</t>
  </si>
  <si>
    <t>CONSOLIDATED ACTIVITIES OF THE CENTER</t>
  </si>
  <si>
    <t>CONSOLIDATED ACTIVITIES OF THE PROGRAM</t>
  </si>
  <si>
    <t>CONSOLIDATED FOOD AND NON-FOOD GROCERY ITEMS OF THE CENTER FOR CY 2023</t>
  </si>
  <si>
    <t>TRANSPORTATION AND EXPENSES OF THE PROGRAM IN HAULING NFA RICE</t>
  </si>
  <si>
    <t>CONSOLIDATED PRINTING SERVICES OF THE SECTION</t>
  </si>
  <si>
    <t>CONSOLIDATED PRINTING SERVICES OF THE DIVISION</t>
  </si>
  <si>
    <t>CONSOLIDATED PRINTING SERVICES OF THE SECTOR</t>
  </si>
  <si>
    <t>CONSOLIDATED PRINTING SERVICES OF THE CENTER</t>
  </si>
  <si>
    <t>CONSOLIDATED PRINTING SERVICES OF THE PROGRAM</t>
  </si>
  <si>
    <t>DRINKING WATER OF THE CENTER FOR CY 2023</t>
  </si>
  <si>
    <t>MS OFFICE</t>
  </si>
  <si>
    <t>KC-PMNP</t>
  </si>
  <si>
    <t>PPD-PDPS</t>
  </si>
  <si>
    <t>ADMIN-PROPERTY AND SUPPLY SECTION</t>
  </si>
  <si>
    <t>FEBRUARY - AUGUST, 2023</t>
  </si>
  <si>
    <t>PPD-NHTU</t>
  </si>
  <si>
    <t>UTILITY EXPENSES</t>
  </si>
  <si>
    <t>DRMD-CCAM</t>
  </si>
  <si>
    <t>NOVEMBER, 2023</t>
  </si>
  <si>
    <t>ADMIN-GENERAL SERVICES SECTION</t>
  </si>
  <si>
    <t>SECURITY SERVICES</t>
  </si>
  <si>
    <t>JANUARY, 2023</t>
  </si>
  <si>
    <t>JANITORIAL SERVICES</t>
  </si>
  <si>
    <t>TOOLS AND EQUIPMENT</t>
  </si>
  <si>
    <t>ELECTRIC BILL, WATER BILL, INTERNET CONNECTION AND ETC. OF THE SECTION</t>
  </si>
  <si>
    <t>TAX INSURANCES AND OTHER FEES</t>
  </si>
  <si>
    <t>VEHICLE ACCESSORIES</t>
  </si>
  <si>
    <t>PSD-CBSS/RRPTP</t>
  </si>
  <si>
    <t>CUSTOMIZED TOTE BAG</t>
  </si>
  <si>
    <t>ADVOCACY ACTIVITIES ON RA 9208/1036/11862</t>
  </si>
  <si>
    <t>1ST REGIONAL SOCIAL DEVELOPMENT COMMITTEE REGULAR MEETING</t>
  </si>
  <si>
    <t>SUPPLY AND DELIVERY OF VIANDS: MAGUINDANAO FISH, MEAT AND EGG PRODUCTS</t>
  </si>
  <si>
    <t>BANGUN</t>
  </si>
  <si>
    <t>MAY - OCTOBER, 2023</t>
  </si>
  <si>
    <t>PORTABLE SPEAKER WITH WIRELESS MICROPHONE</t>
  </si>
  <si>
    <t>CONSOLIDATED OFFICIAL TRAVELS OF THE DIVISION</t>
  </si>
  <si>
    <t>CONSOLIDATED OFFICIAL TRAVELS OF THE SECTION</t>
  </si>
  <si>
    <t>CONSOLIDATED OFFICIAL TRAVELS OF THE PROGRAM</t>
  </si>
  <si>
    <t>SNACK FOODS</t>
  </si>
  <si>
    <t>NUTRITION MONTH CELEBRATION AND COMMUNITY ORIENTATION ACTIVITIES OF BANGUN</t>
  </si>
  <si>
    <t>DRMD</t>
  </si>
  <si>
    <t>MONEY VAULT</t>
  </si>
  <si>
    <t>SOFA</t>
  </si>
  <si>
    <t>DRONE CAMERA</t>
  </si>
  <si>
    <t>SEMI-EXPENDABLE ICT EQUIPMENTS</t>
  </si>
  <si>
    <t>INTERNET SUBSCRIPTION</t>
  </si>
  <si>
    <t>INTERNET SUBSCRIPTION OF DRMD OFFICE AND DRMD WAREHOUSE</t>
  </si>
  <si>
    <t>ADVERTISING EXPENSES</t>
  </si>
  <si>
    <t>FUEL EXPENSES OF THE DIVISION FOR CY 2023</t>
  </si>
  <si>
    <t>WELFARE GOODS</t>
  </si>
  <si>
    <t>HRMDD</t>
  </si>
  <si>
    <t>HRMDD STAFF DEVELOPMENT CONFERENCE</t>
  </si>
  <si>
    <t>MARCH - NOVEMBER, 2023</t>
  </si>
  <si>
    <t>SOCPEN</t>
  </si>
  <si>
    <t>PSD-SOCPEN</t>
  </si>
  <si>
    <t>FEBRUARY - DECEMBER, 2023</t>
  </si>
  <si>
    <t>KYOCERA MITA TONER</t>
  </si>
  <si>
    <t>FUEL EXPENSES OF THE PROGRAM FOR CY 2023</t>
  </si>
  <si>
    <t>FEBRUARY - JULY, 2023</t>
  </si>
  <si>
    <t>AUGUST, 2023</t>
  </si>
  <si>
    <t>MAY - DECEMBER, 2023</t>
  </si>
  <si>
    <t>OCTOBER, 2023</t>
  </si>
  <si>
    <t>RECEPTION AND STUDY CENTER FOR CHILDREN</t>
  </si>
  <si>
    <t>CLOTHINGS, TOILETRIES AND KITCHENWARES OF RSCC RESIDENTS</t>
  </si>
  <si>
    <t>FUEL EXPENSES OF THE CENTER FOR CY 2023</t>
  </si>
  <si>
    <t>FUEL EXPENSES OF THE SECTION FOR CY 2023</t>
  </si>
  <si>
    <t>JUNE - OCTOBER, 2023</t>
  </si>
  <si>
    <t>REGIONAL REHABILITATION CENTER FOR YOUTH</t>
  </si>
  <si>
    <t>INTERNAL AUDIT UNIT</t>
  </si>
  <si>
    <t>PSD-CBSS/WOMEN AND FAMILY SECTOR</t>
  </si>
  <si>
    <t>JULY - SEPTEMBER, 2023</t>
  </si>
  <si>
    <t>CLOTHINGS OF RRCY RESIDENTS</t>
  </si>
  <si>
    <t>ELECTRIC BILL</t>
  </si>
  <si>
    <t>APRIL - MAY, 2023</t>
  </si>
  <si>
    <t>ICTMS</t>
  </si>
  <si>
    <t>CRISIS INTERVENTION UNIT</t>
  </si>
  <si>
    <t>PSD-CBSS/CHILDREN AND YOUTH SECTOR</t>
  </si>
  <si>
    <t>SUSTAINABLE LIVELIHOOD PROGRAM</t>
  </si>
  <si>
    <t>FEBRUARY - OCTOBER, 2023</t>
  </si>
  <si>
    <t>CONSOLIDATED SEMI-EXPENDABLE-FURNITURES AND FIXTURE OF THE PROGRAM</t>
  </si>
  <si>
    <t>CONSOLIDATED SEMI-EXPENDABLE ICT EQUIPMENTS OF THE PROGRAM</t>
  </si>
  <si>
    <t>MARCH - MAY, 2023</t>
  </si>
  <si>
    <t>OPG LED-SECRETARIAT</t>
  </si>
  <si>
    <t>SEPTEMBER, 2023</t>
  </si>
  <si>
    <t>ANNUAL REVIEW, EVALUATION AND PLANNING</t>
  </si>
  <si>
    <t>DOCUMENTATION MATERIALS; MOBILE PHONE</t>
  </si>
  <si>
    <t>COMMUNICATION EXPENSES</t>
  </si>
  <si>
    <t>MOBILE PRE-PAID CARD</t>
  </si>
  <si>
    <t>CUSTOMIZED POLO SHIRT</t>
  </si>
  <si>
    <t>ADOPTION RESOURCE AND REFERRAL SECTION</t>
  </si>
  <si>
    <t>ARSS STAFF DEVELOPMENT</t>
  </si>
  <si>
    <t>CONSULTATION DIALOGUE</t>
  </si>
  <si>
    <t>PRINTING OF CIU FORMS</t>
  </si>
  <si>
    <t>CONSOLIDATED ACTIVITIES OF THE UNIT</t>
  </si>
  <si>
    <t>CIU OFFICE STAFF DEVELOPMENT</t>
  </si>
  <si>
    <t>CONSOLIDATED OFFICE BUILDING RENTAL EXPENSES OF ALL CIU OFFICES WITHIN REGION XII</t>
  </si>
  <si>
    <t>CONSOLIDATED UTILITY EXPENSES OF CIU FOR CY 2023</t>
  </si>
  <si>
    <t>CENTER FOR THE HANDICAPPED</t>
  </si>
  <si>
    <t>STAFF DEVELOPMENT ACTIVITY OF THE CENTER</t>
  </si>
  <si>
    <t>FIRE AND SAFETY</t>
  </si>
  <si>
    <t>CONSOLIDATED OFFICE SUPPLIES OF 4P'S</t>
  </si>
  <si>
    <t>Advertisement  / Posting of IB/REI</t>
  </si>
  <si>
    <t>Submission / Opening of Bids</t>
  </si>
  <si>
    <t>DEPARTMENT OF SOCIAL WELFARE AND DEVELOPMENT FIELD OFFICE  XII Updated Annual Procurement Plan for CY 2023</t>
  </si>
  <si>
    <t>OFFICE / TRAINING SUPPLIES</t>
  </si>
  <si>
    <t>CONSOLIDATED OFFICE/TRAINING SUPPLIES OF SLP</t>
  </si>
  <si>
    <t>PPD-STANDARD SECTION</t>
  </si>
  <si>
    <t>ICT SUPPLIES AND EQUIPMENTS</t>
  </si>
  <si>
    <t>JANITORIAL SUPPLIES</t>
  </si>
  <si>
    <t>POWER BANK 19200mAH</t>
  </si>
  <si>
    <t>CONSOLIDATED OFFICE SUPPLIES OF KC-NCDDP-AF</t>
  </si>
  <si>
    <t>MARCH - SEPTEMBER, 2023</t>
  </si>
  <si>
    <t>CONSOLIDATED MEDICAL AND MEDICINE SUPPLIES OF KC-NCCDP-AF</t>
  </si>
  <si>
    <t>CONSOLIDATED OFFICE SUPPLIES OF KC-KKB</t>
  </si>
  <si>
    <t>CONSOLIDATED MEDICAL AND MEDICINE SUPPLIES OF KC-KKB</t>
  </si>
  <si>
    <t>POWER BANK 5000-10000mAH</t>
  </si>
  <si>
    <t>CONSOLIDATED OFFICE SUPPLIES OF KC-PMNP</t>
  </si>
  <si>
    <t>LAPTOPS AND PRINTER</t>
  </si>
  <si>
    <t>CONSOLIDATED OFFICE SUPPLIES OF ADMIN-PSS</t>
  </si>
  <si>
    <t>HYGIENE KIT</t>
  </si>
  <si>
    <t>ISSO-OFW</t>
  </si>
  <si>
    <t>CONSOLIDATED OFFICE/TRAINING SUPPLIES OF CIU</t>
  </si>
  <si>
    <t>3IN1 PRINTER</t>
  </si>
  <si>
    <t>ADVOCACY MATERIALS</t>
  </si>
  <si>
    <t>PLAQUES FOR THE LGUs AWARDEES</t>
  </si>
  <si>
    <t>GOP</t>
  </si>
  <si>
    <t>CUSTOMIZED NOTEBOOK PLANNER</t>
  </si>
  <si>
    <t>SUPPLEMENTAL FEEDING PROGRAM</t>
  </si>
  <si>
    <t xml:space="preserve">SOCIAL PENSION </t>
  </si>
  <si>
    <t>CRCF</t>
  </si>
  <si>
    <t>GAMES PRIZES FOR THE FELLOWSHIP ACTIVITY</t>
  </si>
  <si>
    <t>2 DAYS CONSULTATION MEETING WITH THE LGUs</t>
  </si>
  <si>
    <t>3 DAYS COMMUNITY BASE SERVICES SECTION (CBSS) STAFF DEVELOPMENT CONFERENCE CUM: 2ND SEMESTER ASSESSMENT CY 2023</t>
  </si>
  <si>
    <t>ROOF AND CR REPAIR</t>
  </si>
  <si>
    <t>REHABILITATION OF ADMIN BUILDING COMFORT ROOM, STORAGE BUILDING ELECTRICAL WORKS AND COVERED COURT ROOF OF RRCY XII</t>
  </si>
  <si>
    <t>CONSTRUCTION</t>
  </si>
  <si>
    <t>Sept</t>
  </si>
  <si>
    <t>CONSTRUCTION OF RSCC RESIDENTIAL FACILITY 1-STOREY BUILDING (PROGRESSIVE TYPE - WITH TWO STOREY FOUNDATION PROVISION)</t>
  </si>
  <si>
    <t>CONSTRUCTION OF 2-STOREY MULTIPURPOSE BUILDING DESIGN AND BUILD CONTRACT</t>
  </si>
  <si>
    <t>CONSTRUCTION OF 108M PERIMETER FENCE WITH METAL GATE</t>
  </si>
  <si>
    <t>MAY 2023</t>
  </si>
  <si>
    <t>CONSULTATION DIALOGUE WITH LGUs</t>
  </si>
  <si>
    <t>SOCIAL PENSION OFFICE</t>
  </si>
  <si>
    <t>RENOVATION OF SOCIAL PENSION OFFICE IN PREPARATION FOR BREASTFEEDING ROOM AND CHILD MINDING</t>
  </si>
  <si>
    <t>COMMERCIAL RICE</t>
  </si>
  <si>
    <t>DECEMBER 2023</t>
  </si>
  <si>
    <t xml:space="preserve">OFFICE / TRAINING SUPPLIES </t>
  </si>
  <si>
    <t>CONSUMABLES</t>
  </si>
  <si>
    <t>REPAIR AND MAINTENANCE FOR TRANSPORTATION EQUIPMENT (RP VEHICLE)</t>
  </si>
  <si>
    <t>APRIL 2023</t>
  </si>
  <si>
    <t>COMPREHENSIVE ORIENTATION FOR NEWLY HIRED CITY/MUNICIPAL LINKS</t>
  </si>
  <si>
    <t xml:space="preserve">RENTAL OF INTERNET CAFÉ </t>
  </si>
  <si>
    <t>SEPTEMBER 2023</t>
  </si>
  <si>
    <t>RENTAL OF INTERNET CAFÉ FOR 60 DAYS ENCODING STATION</t>
  </si>
  <si>
    <t>BALANCING MINDS AND BODIES: A HOLLISTIC APPROACH TO 4Ps RPMO STAFF WELL-BEING (CATERING SERVICE FOR 1 DAY)</t>
  </si>
  <si>
    <t xml:space="preserve">BALANCING MINDS AND BODIES: A HOLLISTIC APPROACH TO 4Ps RPMPO STAFF WELL-BEING </t>
  </si>
  <si>
    <t>NOVEMBER - DECEMBER 2023</t>
  </si>
  <si>
    <t>TRAINING SUPPLIES</t>
  </si>
  <si>
    <t>AUGUST 2023</t>
  </si>
  <si>
    <t>SYSTEMS CONSULTATION MEETING</t>
  </si>
  <si>
    <t>JULY 2023</t>
  </si>
  <si>
    <t>PAPER MULTICOPY</t>
  </si>
  <si>
    <t>JULY 2024</t>
  </si>
  <si>
    <t>SET 12 REPLACEMENT ACTIVITY OFFICE SUPPLIES</t>
  </si>
  <si>
    <t>PLANNING WORKSHOP CUM IPC CRAFTING</t>
  </si>
  <si>
    <t>OFFICE AND TRAINING SUPPLIES</t>
  </si>
  <si>
    <t>DOCUMENT SCANNER</t>
  </si>
  <si>
    <t>CONSULTATION MEETING WITH LANDBANK ON 4Ps ISSUES</t>
  </si>
  <si>
    <t>OCTOBER -NOVEMBER 2023</t>
  </si>
  <si>
    <t>CASE CONFERENCE AND CASE DELIBERATION (COTABATO PROVINCE)</t>
  </si>
  <si>
    <t>CASE CONFERENCE AND CASE DELIBERATION (SULTAN KUDARAT PROVINCE)</t>
  </si>
  <si>
    <t>CASE CONFERENCE AND CASE DELIBERATION (SOUTH COTABATO PROVINCE)</t>
  </si>
  <si>
    <t>CASE CONFERENCE AND CASE DELIBERATION (SARANGANI PROVINCE AND GENERAL SANTOS CITY)</t>
  </si>
  <si>
    <t>OCTOBER 2023</t>
  </si>
  <si>
    <t>NAS DRIVE 8 BAYS &amp; 2.5" SSD 3.8 TB</t>
  </si>
  <si>
    <t>FLOOR STANDING INTERACTIVE/TOUCHSCREEN KIOSK</t>
  </si>
  <si>
    <t>LSI RAID CONTROLLER &amp; UPS GXT4-10000RT230 BATTERY REPLACEMENT</t>
  </si>
  <si>
    <t>NOVEMBER 2023</t>
  </si>
  <si>
    <t>PRINTER INK FOR EPSON, BROTHER &amp; HP</t>
  </si>
  <si>
    <t>ICT ELECTRICAL SUPPLIES &amp; EQUIPMENTS</t>
  </si>
  <si>
    <t>CYBERSECURITY TRAINING FOR DSWD IT STAFFS</t>
  </si>
  <si>
    <t>CUSTOMIZED POLO SHIRT, COLORED RIBBON FOR PVC PRINTER &amp; PVC CARDS</t>
  </si>
  <si>
    <t>SFP BROCHURE, PLANNER, TUMBLER, CUSTOMIZED UMBRELLA &amp; CUTLERY SET</t>
  </si>
  <si>
    <t>PARTY NEEDS</t>
  </si>
  <si>
    <t>TONER TNP 60</t>
  </si>
  <si>
    <t>PPD NHTS</t>
  </si>
  <si>
    <t>CUSTOMIZED IEC MATERIALS</t>
  </si>
  <si>
    <t>ANDROID TABLET</t>
  </si>
  <si>
    <t>CONSOLIDATED OFFICE/TRAINING SUPPLIES</t>
  </si>
  <si>
    <t>INTERNET CAFÉ RENTAL</t>
  </si>
  <si>
    <t>CONSOLIDATED VAN/SUV RENTAL</t>
  </si>
  <si>
    <t>AUGUST, DECEMBER 2023</t>
  </si>
  <si>
    <t>MARCH, APRIL, AUGUST, DECEMBER 2023</t>
  </si>
  <si>
    <t>CONSOLIDATED TRAININGS, MEETINGS, SEMINARS, ORIENTATION</t>
  </si>
  <si>
    <t>HOUSEHOLD ASSESSMENT FORMS HAF's FOR REGION XII AND BARMM-LAMA</t>
  </si>
  <si>
    <t xml:space="preserve">CONSOLIDATED RENTAL OF INTERNET CAFÉ </t>
  </si>
  <si>
    <t>APRIL, DECEMBER 2023</t>
  </si>
  <si>
    <t>PPD/PDPS</t>
  </si>
  <si>
    <t>PSD/CRCF</t>
  </si>
  <si>
    <t>CONSOLIDATED ACTIVITY OF CRCF</t>
  </si>
  <si>
    <t>CONSOLIDATED ACTIVITY OF PDPS</t>
  </si>
  <si>
    <t>MARCH, SEPTEMBER, NOVEMBER 2023</t>
  </si>
  <si>
    <t>PPD/NHTS</t>
  </si>
  <si>
    <t>JULY, SEPTEMBER, NOVEMBER, 2023</t>
  </si>
  <si>
    <t>APRIL, JULY 2023</t>
  </si>
  <si>
    <t>RJJWC</t>
  </si>
  <si>
    <t>PACKED MEAL</t>
  </si>
  <si>
    <t>GLASS PLAQUE</t>
  </si>
  <si>
    <t>FMD</t>
  </si>
  <si>
    <t>FMD ANNUAL REPORTING AND RECONCILING OF FINANCIAL REPORTS</t>
  </si>
  <si>
    <t>SEPTEMBER, DECEMBER 2023</t>
  </si>
  <si>
    <t>MARCH, JULY, OCTOBER 2023</t>
  </si>
  <si>
    <t>APRIL, AUGUST 2023</t>
  </si>
  <si>
    <t>DISASTER STOCKPILE, REPEAT ORDER</t>
  </si>
  <si>
    <t>MARCH, JULY 2023</t>
  </si>
  <si>
    <t>MARCH, MAY, JULY 2023</t>
  </si>
  <si>
    <t>PRINTER, SAFETY VAULT, TABLET</t>
  </si>
  <si>
    <t>CONSOLIDATED VEHICLE REPAIR AND MAINTENANCE</t>
  </si>
  <si>
    <t>MARCH, DECEMBER 2023</t>
  </si>
  <si>
    <t>CONSOLIDATED ACTIVITY OF THE CCAM</t>
  </si>
  <si>
    <t>PPS</t>
  </si>
  <si>
    <t>HEAVY DUTY LABEL PRINTER</t>
  </si>
  <si>
    <t>GENERAL SERVICES SECTION</t>
  </si>
  <si>
    <t>AUGUST, OCTOBER, NOVEMBER, 2023</t>
  </si>
  <si>
    <t>ADDITIONAL TABLES, FIRE EXTINGUISHER REFILL &amp; MATERIALS REPLACEMENT</t>
  </si>
  <si>
    <t>OCTOBER</t>
  </si>
  <si>
    <t>TOTAL</t>
  </si>
  <si>
    <t>SGD. ABDULQUDDUS R. BARAMBANGAN</t>
  </si>
  <si>
    <t>SGD. LORETO JR. V. CABAYA</t>
  </si>
  <si>
    <t>SGD. JACKIYA A. LAO</t>
  </si>
  <si>
    <t>SGD. LUDMILLA D. RELLORES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</si>
</sst>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quot; &quot;;&quot; (&quot;#,##0.00&quot;)&quot;;&quot; -&quot;#&quot; &quot;;@&quot; &quot;"/>
    <numFmt numFmtId="165" formatCode="[$$-409]#,##0.00;[Red]&quot;-&quot;[$$-409]#,##0.00"/>
    <numFmt numFmtId="166" formatCode="&quot;₱&quot;#,##0.00"/>
    <numFmt numFmtId="167" formatCode="[$₱]#,##0.00"/>
    <numFmt numFmtId="168" formatCode="_-* #,##0.00_-;\-* #,##0.00_-;_-* &quot;-&quot;??_-;_-@"/>
    <numFmt numFmtId="169" formatCode="&quot;₱&quot;#,##0.0000"/>
  </numFmts>
  <fonts count="21">
    <font>
      <sz val="11"/>
      <color rgb="FF000000"/>
      <name val="Arial1"/>
    </font>
    <font>
      <sz val="11"/>
      <color rgb="FF000000"/>
      <name val="Arial1"/>
    </font>
    <font>
      <sz val="10"/>
      <color rgb="FF000000"/>
      <name val="Arial1"/>
    </font>
    <font>
      <u/>
      <sz val="10"/>
      <color rgb="FF0000FF"/>
      <name val="Arial1"/>
    </font>
    <font>
      <b/>
      <i/>
      <sz val="16"/>
      <color rgb="FF000000"/>
      <name val="Arial1"/>
    </font>
    <font>
      <b/>
      <i/>
      <u/>
      <sz val="11"/>
      <color rgb="FF000000"/>
      <name val="Arial1"/>
    </font>
    <font>
      <b/>
      <sz val="9"/>
      <color rgb="FF000000"/>
      <name val="Arial1"/>
    </font>
    <font>
      <b/>
      <sz val="8"/>
      <color rgb="FF000000"/>
      <name val="Arial1"/>
    </font>
    <font>
      <b/>
      <sz val="10"/>
      <color rgb="FF000000"/>
      <name val="Arial1"/>
    </font>
    <font>
      <b/>
      <sz val="11"/>
      <color rgb="FF000000"/>
      <name val="Arial1"/>
    </font>
    <font>
      <sz val="11"/>
      <name val="Arial1"/>
    </font>
    <font>
      <b/>
      <sz val="11"/>
      <name val="Arial"/>
      <family val="2"/>
    </font>
    <font>
      <sz val="11"/>
      <name val="Arial"/>
      <family val="2"/>
    </font>
    <font>
      <b/>
      <sz val="12"/>
      <color rgb="FF000000"/>
      <name val="Arial1"/>
    </font>
    <font>
      <sz val="12"/>
      <color rgb="FF000000"/>
      <name val="Arial1"/>
    </font>
    <font>
      <b/>
      <sz val="13"/>
      <color rgb="FF000000"/>
      <name val="Arial1"/>
    </font>
    <font>
      <sz val="11"/>
      <color rgb="FF000000"/>
      <name val="Arial"/>
      <family val="2"/>
    </font>
    <font>
      <sz val="12"/>
      <color theme="1"/>
      <name val="Arial"/>
      <family val="2"/>
    </font>
    <font>
      <sz val="11"/>
      <color theme="1"/>
      <name val="Arial"/>
      <family val="2"/>
    </font>
    <font>
      <b/>
      <sz val="11"/>
      <name val="Arial1"/>
    </font>
    <font>
      <sz val="11"/>
      <color rgb="FF000000"/>
      <name val="Calibri"/>
      <family val="2"/>
    </font>
  </fonts>
  <fills count="9">
    <fill>
      <patternFill patternType="none"/>
    </fill>
    <fill>
      <patternFill patternType="gray125"/>
    </fill>
    <fill>
      <patternFill patternType="solid">
        <fgColor rgb="FFFF6600"/>
        <bgColor rgb="FFFF6600"/>
      </patternFill>
    </fill>
    <fill>
      <patternFill patternType="solid">
        <fgColor rgb="FFFFFFFF"/>
        <bgColor rgb="FFFFFFFF"/>
      </patternFill>
    </fill>
    <fill>
      <patternFill patternType="solid">
        <fgColor rgb="FF000000"/>
        <bgColor rgb="FF000000"/>
      </patternFill>
    </fill>
    <fill>
      <patternFill patternType="solid">
        <fgColor rgb="FF339966"/>
        <bgColor rgb="FF339966"/>
      </patternFill>
    </fill>
    <fill>
      <patternFill patternType="solid">
        <fgColor theme="0"/>
        <bgColor rgb="FFFFFFFF"/>
      </patternFill>
    </fill>
    <fill>
      <patternFill patternType="solid">
        <fgColor theme="0"/>
        <bgColor theme="0"/>
      </patternFill>
    </fill>
    <fill>
      <patternFill patternType="solid">
        <fgColor rgb="FFFFFFFF"/>
        <bgColor indexed="64"/>
      </patternFill>
    </fill>
  </fills>
  <borders count="24">
    <border>
      <left/>
      <right/>
      <top/>
      <bottom/>
      <diagonal/>
    </border>
    <border>
      <left style="thin">
        <color rgb="FF000000"/>
      </left>
      <right style="thin">
        <color rgb="FF000000"/>
      </right>
      <top style="medium">
        <color rgb="FF000000"/>
      </top>
      <bottom style="double">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double">
        <color rgb="FF000000"/>
      </bottom>
      <diagonal/>
    </border>
    <border>
      <left style="thin">
        <color rgb="FF000000"/>
      </left>
      <right/>
      <top/>
      <bottom style="double">
        <color rgb="FF000000"/>
      </bottom>
      <diagonal/>
    </border>
    <border>
      <left/>
      <right/>
      <top/>
      <bottom style="double">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medium">
        <color rgb="FFCCCCCC"/>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s>
  <cellStyleXfs count="17">
    <xf numFmtId="0" fontId="0" fillId="0"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0" fontId="1" fillId="2" borderId="0"/>
    <xf numFmtId="164" fontId="2" fillId="0" borderId="0"/>
    <xf numFmtId="0" fontId="3" fillId="0" borderId="0"/>
    <xf numFmtId="0" fontId="4" fillId="0" borderId="0">
      <alignment horizontal="center"/>
    </xf>
    <xf numFmtId="0" fontId="4" fillId="0" borderId="0">
      <alignment horizontal="center" textRotation="90"/>
    </xf>
    <xf numFmtId="0" fontId="5" fillId="0" borderId="0"/>
    <xf numFmtId="165" fontId="5" fillId="0" borderId="0"/>
  </cellStyleXfs>
  <cellXfs count="158">
    <xf numFmtId="0" fontId="0" fillId="0" borderId="0" xfId="0"/>
    <xf numFmtId="0" fontId="0" fillId="3" borderId="0" xfId="0" applyFill="1" applyProtection="1">
      <protection locked="0"/>
    </xf>
    <xf numFmtId="0" fontId="3" fillId="3" borderId="8" xfId="12" applyFill="1" applyBorder="1" applyAlignment="1">
      <alignment wrapText="1"/>
    </xf>
    <xf numFmtId="0" fontId="3" fillId="3" borderId="4" xfId="12" applyFill="1" applyBorder="1" applyAlignment="1">
      <alignment wrapText="1"/>
    </xf>
    <xf numFmtId="0" fontId="2" fillId="0" borderId="0" xfId="0" applyFont="1"/>
    <xf numFmtId="0" fontId="0" fillId="3" borderId="0" xfId="0" applyFill="1"/>
    <xf numFmtId="0" fontId="8" fillId="3" borderId="4" xfId="0" applyFont="1" applyFill="1" applyBorder="1" applyAlignment="1">
      <alignment horizontal="center" vertical="center"/>
    </xf>
    <xf numFmtId="0" fontId="8" fillId="3" borderId="4" xfId="0" applyFont="1" applyFill="1" applyBorder="1"/>
    <xf numFmtId="0" fontId="6" fillId="3" borderId="9" xfId="0" applyFont="1" applyFill="1" applyBorder="1" applyAlignment="1">
      <alignment horizontal="center" vertical="center" wrapText="1"/>
    </xf>
    <xf numFmtId="0" fontId="0" fillId="4" borderId="0" xfId="0" applyFill="1"/>
    <xf numFmtId="0" fontId="2" fillId="3" borderId="8" xfId="0" applyFont="1" applyFill="1" applyBorder="1" applyAlignment="1">
      <alignment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3" borderId="4" xfId="0" applyFont="1" applyFill="1" applyBorder="1" applyAlignment="1">
      <alignment wrapText="1"/>
    </xf>
    <xf numFmtId="0" fontId="6" fillId="3" borderId="0" xfId="0" applyFont="1" applyFill="1" applyAlignment="1">
      <alignment horizontal="center" vertical="center" wrapText="1"/>
    </xf>
    <xf numFmtId="0" fontId="0" fillId="3" borderId="4" xfId="0" applyFill="1" applyBorder="1"/>
    <xf numFmtId="0" fontId="2" fillId="3" borderId="4" xfId="0" applyFont="1" applyFill="1" applyBorder="1" applyAlignment="1">
      <alignment horizontal="center" vertical="center"/>
    </xf>
    <xf numFmtId="0" fontId="2" fillId="5" borderId="4" xfId="0" applyFont="1" applyFill="1" applyBorder="1" applyAlignment="1">
      <alignment wrapText="1"/>
    </xf>
    <xf numFmtId="0" fontId="8" fillId="3" borderId="4" xfId="0" applyFont="1" applyFill="1" applyBorder="1" applyAlignment="1">
      <alignment wrapText="1"/>
    </xf>
    <xf numFmtId="0" fontId="9" fillId="3" borderId="4" xfId="0" applyFont="1" applyFill="1" applyBorder="1" applyAlignment="1">
      <alignment vertical="top" wrapText="1"/>
    </xf>
    <xf numFmtId="0" fontId="0" fillId="0" borderId="0" xfId="0" applyProtection="1">
      <protection locked="0"/>
    </xf>
    <xf numFmtId="0" fontId="9" fillId="3" borderId="0" xfId="0" applyFont="1" applyFill="1" applyAlignment="1" applyProtection="1">
      <alignment horizontal="left"/>
      <protection locked="0"/>
    </xf>
    <xf numFmtId="0" fontId="0" fillId="3" borderId="0" xfId="0" applyFill="1" applyAlignment="1" applyProtection="1">
      <alignment horizontal="center"/>
      <protection locked="0"/>
    </xf>
    <xf numFmtId="0" fontId="0" fillId="3" borderId="0" xfId="0" applyFill="1" applyAlignment="1" applyProtection="1">
      <alignment horizontal="left" vertical="top"/>
      <protection locked="0"/>
    </xf>
    <xf numFmtId="0" fontId="0" fillId="3" borderId="11" xfId="0" applyFill="1" applyBorder="1" applyAlignment="1" applyProtection="1">
      <alignment horizontal="left" vertical="top"/>
      <protection locked="0"/>
    </xf>
    <xf numFmtId="0" fontId="9" fillId="3" borderId="11" xfId="0" applyFont="1"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10" fillId="6" borderId="11" xfId="0" applyFont="1" applyFill="1" applyBorder="1" applyAlignment="1" applyProtection="1">
      <alignment horizontal="left" vertical="top" wrapText="1"/>
      <protection locked="0"/>
    </xf>
    <xf numFmtId="17" fontId="0" fillId="3" borderId="11" xfId="0" applyNumberFormat="1" applyFill="1" applyBorder="1" applyAlignment="1" applyProtection="1">
      <alignment horizontal="left" vertical="top" wrapText="1"/>
      <protection locked="0"/>
    </xf>
    <xf numFmtId="166" fontId="0" fillId="3" borderId="11" xfId="0" applyNumberFormat="1" applyFill="1" applyBorder="1" applyAlignment="1" applyProtection="1">
      <alignment horizontal="left" vertical="top" wrapText="1"/>
      <protection locked="0"/>
    </xf>
    <xf numFmtId="0" fontId="0" fillId="0" borderId="11" xfId="0" applyBorder="1" applyAlignment="1">
      <alignment wrapText="1"/>
    </xf>
    <xf numFmtId="0" fontId="11" fillId="3" borderId="11" xfId="0" applyFont="1" applyFill="1" applyBorder="1" applyAlignment="1" applyProtection="1">
      <alignment horizontal="left" vertical="top" wrapText="1"/>
      <protection locked="0"/>
    </xf>
    <xf numFmtId="0" fontId="10" fillId="3" borderId="11" xfId="0" applyFont="1" applyFill="1" applyBorder="1" applyAlignment="1" applyProtection="1">
      <alignment horizontal="left" vertical="top" wrapText="1"/>
      <protection locked="0"/>
    </xf>
    <xf numFmtId="17" fontId="10" fillId="6" borderId="11" xfId="0" applyNumberFormat="1" applyFont="1" applyFill="1" applyBorder="1" applyAlignment="1" applyProtection="1">
      <alignment horizontal="left" vertical="top" wrapText="1"/>
      <protection locked="0"/>
    </xf>
    <xf numFmtId="166" fontId="10" fillId="3" borderId="11" xfId="0" applyNumberFormat="1" applyFont="1" applyFill="1" applyBorder="1" applyAlignment="1" applyProtection="1">
      <alignment horizontal="left" vertical="top" wrapText="1"/>
      <protection locked="0"/>
    </xf>
    <xf numFmtId="0" fontId="11" fillId="6" borderId="11" xfId="0" applyFont="1" applyFill="1" applyBorder="1" applyAlignment="1" applyProtection="1">
      <alignment horizontal="left" vertical="top" wrapText="1"/>
      <protection locked="0"/>
    </xf>
    <xf numFmtId="0" fontId="12" fillId="6" borderId="11" xfId="0" applyFont="1" applyFill="1" applyBorder="1" applyAlignment="1" applyProtection="1">
      <alignment horizontal="left" vertical="top" wrapText="1"/>
      <protection locked="0"/>
    </xf>
    <xf numFmtId="0" fontId="12" fillId="3" borderId="11" xfId="0" applyFont="1" applyFill="1" applyBorder="1" applyAlignment="1" applyProtection="1">
      <alignment horizontal="left" vertical="top" wrapText="1"/>
      <protection locked="0"/>
    </xf>
    <xf numFmtId="0" fontId="0" fillId="3" borderId="0" xfId="0" applyFill="1" applyAlignment="1" applyProtection="1">
      <alignment horizontal="left"/>
      <protection locked="0"/>
    </xf>
    <xf numFmtId="0" fontId="0" fillId="3" borderId="0" xfId="0" applyFill="1" applyAlignment="1" applyProtection="1">
      <alignment wrapText="1"/>
      <protection locked="0"/>
    </xf>
    <xf numFmtId="0" fontId="0" fillId="3" borderId="0" xfId="0" applyFill="1" applyAlignment="1" applyProtection="1">
      <alignment horizontal="center" wrapText="1"/>
      <protection locked="0"/>
    </xf>
    <xf numFmtId="0" fontId="0" fillId="3" borderId="0" xfId="0" applyFill="1" applyAlignment="1" applyProtection="1">
      <alignment horizontal="left" vertical="top" wrapText="1"/>
      <protection locked="0"/>
    </xf>
    <xf numFmtId="0" fontId="0" fillId="3" borderId="11" xfId="0" applyFill="1" applyBorder="1" applyAlignment="1" applyProtection="1">
      <alignment horizontal="center"/>
      <protection locked="0"/>
    </xf>
    <xf numFmtId="0" fontId="0" fillId="3" borderId="11" xfId="0" applyFill="1" applyBorder="1" applyProtection="1">
      <protection locked="0"/>
    </xf>
    <xf numFmtId="0" fontId="0" fillId="3" borderId="11" xfId="0" applyFill="1" applyBorder="1" applyAlignment="1" applyProtection="1">
      <alignment horizontal="left"/>
      <protection locked="0"/>
    </xf>
    <xf numFmtId="166" fontId="0" fillId="3" borderId="0" xfId="0" applyNumberFormat="1" applyFill="1" applyProtection="1">
      <protection locked="0"/>
    </xf>
    <xf numFmtId="0" fontId="13" fillId="3" borderId="0" xfId="0" applyFont="1" applyFill="1" applyAlignment="1" applyProtection="1">
      <alignment horizontal="left"/>
      <protection locked="0"/>
    </xf>
    <xf numFmtId="0" fontId="13" fillId="3" borderId="0" xfId="0" applyFont="1" applyFill="1" applyProtection="1">
      <protection locked="0"/>
    </xf>
    <xf numFmtId="0" fontId="13" fillId="3" borderId="0" xfId="0" applyFont="1" applyFill="1" applyAlignment="1" applyProtection="1">
      <alignment horizontal="center"/>
      <protection locked="0"/>
    </xf>
    <xf numFmtId="0" fontId="14" fillId="3" borderId="0" xfId="0" applyFont="1" applyFill="1" applyAlignment="1" applyProtection="1">
      <alignment horizontal="center"/>
      <protection locked="0"/>
    </xf>
    <xf numFmtId="0" fontId="14" fillId="3" borderId="0" xfId="0" applyFont="1" applyFill="1" applyProtection="1">
      <protection locked="0"/>
    </xf>
    <xf numFmtId="0" fontId="14" fillId="3" borderId="0" xfId="0" applyFont="1" applyFill="1" applyAlignment="1" applyProtection="1">
      <alignment horizontal="left"/>
      <protection locked="0"/>
    </xf>
    <xf numFmtId="166" fontId="14" fillId="3" borderId="0" xfId="0" applyNumberFormat="1" applyFont="1" applyFill="1" applyAlignment="1" applyProtection="1">
      <alignment horizontal="center"/>
      <protection locked="0"/>
    </xf>
    <xf numFmtId="0" fontId="13" fillId="3" borderId="0" xfId="0" applyFont="1" applyFill="1" applyAlignment="1" applyProtection="1">
      <alignment horizontal="center" vertical="top" wrapText="1"/>
      <protection locked="0"/>
    </xf>
    <xf numFmtId="0" fontId="13" fillId="3" borderId="5" xfId="0" applyFont="1" applyFill="1" applyBorder="1" applyAlignment="1" applyProtection="1">
      <alignment horizontal="center" vertical="top" wrapText="1"/>
      <protection locked="0"/>
    </xf>
    <xf numFmtId="0" fontId="13" fillId="3" borderId="6" xfId="0" applyFont="1" applyFill="1" applyBorder="1" applyAlignment="1" applyProtection="1">
      <alignment horizontal="center" vertical="top" wrapText="1"/>
      <protection locked="0"/>
    </xf>
    <xf numFmtId="0" fontId="13" fillId="3" borderId="7" xfId="0" applyFont="1" applyFill="1" applyBorder="1" applyAlignment="1" applyProtection="1">
      <alignment horizontal="center" vertical="top" wrapText="1"/>
      <protection locked="0"/>
    </xf>
    <xf numFmtId="166" fontId="14" fillId="3" borderId="0" xfId="0" applyNumberFormat="1" applyFont="1" applyFill="1" applyProtection="1">
      <protection locked="0"/>
    </xf>
    <xf numFmtId="0" fontId="14" fillId="3" borderId="0" xfId="0" applyFont="1" applyFill="1" applyAlignment="1" applyProtection="1">
      <alignment horizontal="left" vertical="top"/>
      <protection locked="0"/>
    </xf>
    <xf numFmtId="0" fontId="14" fillId="0" borderId="0" xfId="0" applyFont="1"/>
    <xf numFmtId="0" fontId="16" fillId="3" borderId="12" xfId="0" applyFont="1" applyFill="1" applyBorder="1" applyAlignment="1" applyProtection="1">
      <alignment horizontal="center" vertical="center" wrapText="1"/>
      <protection locked="0"/>
    </xf>
    <xf numFmtId="0" fontId="17" fillId="7" borderId="4" xfId="0" applyFont="1" applyFill="1" applyBorder="1" applyAlignment="1">
      <alignment horizontal="center" vertical="center"/>
    </xf>
    <xf numFmtId="0" fontId="18" fillId="0" borderId="4" xfId="0" applyFont="1" applyBorder="1" applyAlignment="1">
      <alignment horizontal="left" vertical="center"/>
    </xf>
    <xf numFmtId="0" fontId="18" fillId="0" borderId="4" xfId="0" applyFont="1" applyBorder="1" applyAlignment="1">
      <alignment horizontal="center" vertical="center" wrapText="1"/>
    </xf>
    <xf numFmtId="0" fontId="18" fillId="7" borderId="4" xfId="0" applyFont="1" applyFill="1" applyBorder="1" applyAlignment="1">
      <alignment horizontal="center" vertical="center"/>
    </xf>
    <xf numFmtId="0" fontId="18" fillId="0" borderId="4" xfId="0" applyFont="1" applyBorder="1" applyAlignment="1">
      <alignment horizontal="left" wrapText="1"/>
    </xf>
    <xf numFmtId="0" fontId="19" fillId="3" borderId="11" xfId="0" applyFont="1" applyFill="1" applyBorder="1" applyAlignment="1" applyProtection="1">
      <alignment horizontal="left" vertical="top" wrapText="1"/>
      <protection locked="0"/>
    </xf>
    <xf numFmtId="0" fontId="18" fillId="0" borderId="4" xfId="0" applyFont="1" applyBorder="1" applyAlignment="1">
      <alignment wrapText="1"/>
    </xf>
    <xf numFmtId="0" fontId="18" fillId="7" borderId="4" xfId="0" applyFont="1" applyFill="1" applyBorder="1" applyAlignment="1">
      <alignment horizontal="left" vertical="center"/>
    </xf>
    <xf numFmtId="0" fontId="18" fillId="7" borderId="4" xfId="0" applyFont="1" applyFill="1" applyBorder="1" applyAlignment="1">
      <alignment horizontal="left" vertical="center" wrapText="1"/>
    </xf>
    <xf numFmtId="0" fontId="17" fillId="0" borderId="4" xfId="0" applyFont="1" applyBorder="1" applyAlignment="1">
      <alignment horizontal="center" vertical="center"/>
    </xf>
    <xf numFmtId="0" fontId="18" fillId="0" borderId="4" xfId="0" applyFont="1" applyBorder="1" applyAlignment="1">
      <alignment horizontal="left" vertical="center" wrapText="1"/>
    </xf>
    <xf numFmtId="169" fontId="0" fillId="3" borderId="11" xfId="0" applyNumberFormat="1" applyFill="1" applyBorder="1" applyAlignment="1" applyProtection="1">
      <alignment horizontal="left" vertical="top" wrapText="1"/>
      <protection locked="0"/>
    </xf>
    <xf numFmtId="0" fontId="17" fillId="0" borderId="13" xfId="0" applyFont="1" applyBorder="1" applyAlignment="1">
      <alignment horizontal="center" vertical="center"/>
    </xf>
    <xf numFmtId="0" fontId="16" fillId="3" borderId="4" xfId="0" applyFont="1" applyFill="1" applyBorder="1" applyAlignment="1">
      <alignment horizontal="left" vertical="center" wrapText="1"/>
    </xf>
    <xf numFmtId="0" fontId="16" fillId="3" borderId="8" xfId="0" applyFont="1" applyFill="1" applyBorder="1" applyAlignment="1">
      <alignment horizontal="left" vertical="center" wrapText="1"/>
    </xf>
    <xf numFmtId="17" fontId="10" fillId="3" borderId="11" xfId="0" quotePrefix="1" applyNumberFormat="1" applyFont="1" applyFill="1" applyBorder="1" applyAlignment="1" applyProtection="1">
      <alignment horizontal="left" vertical="top" wrapText="1"/>
      <protection locked="0"/>
    </xf>
    <xf numFmtId="0" fontId="9" fillId="0" borderId="11" xfId="0" applyFont="1" applyBorder="1" applyAlignment="1">
      <alignment wrapText="1"/>
    </xf>
    <xf numFmtId="17" fontId="0" fillId="3" borderId="11" xfId="0" quotePrefix="1" applyNumberFormat="1" applyFill="1" applyBorder="1" applyAlignment="1" applyProtection="1">
      <alignment horizontal="left" vertical="top" wrapText="1"/>
      <protection locked="0"/>
    </xf>
    <xf numFmtId="0" fontId="0" fillId="3" borderId="11" xfId="0" quotePrefix="1" applyFill="1" applyBorder="1" applyAlignment="1" applyProtection="1">
      <alignment horizontal="left" vertical="top" wrapText="1"/>
      <protection locked="0"/>
    </xf>
    <xf numFmtId="17" fontId="10" fillId="6" borderId="11" xfId="0" quotePrefix="1" applyNumberFormat="1" applyFont="1" applyFill="1" applyBorder="1" applyAlignment="1" applyProtection="1">
      <alignment horizontal="left" vertical="top" wrapText="1"/>
      <protection locked="0"/>
    </xf>
    <xf numFmtId="0" fontId="20" fillId="8" borderId="18" xfId="0" applyFont="1" applyFill="1" applyBorder="1" applyAlignment="1">
      <alignment vertical="center" wrapText="1"/>
    </xf>
    <xf numFmtId="0" fontId="20" fillId="8" borderId="0" xfId="0" applyFont="1" applyFill="1" applyAlignment="1">
      <alignment vertical="center" wrapText="1"/>
    </xf>
    <xf numFmtId="0" fontId="10" fillId="6" borderId="0" xfId="0" applyFont="1" applyFill="1" applyAlignment="1" applyProtection="1">
      <alignment horizontal="left" vertical="top" wrapText="1"/>
      <protection locked="0"/>
    </xf>
    <xf numFmtId="17" fontId="10" fillId="6" borderId="0" xfId="0" applyNumberFormat="1" applyFont="1" applyFill="1" applyAlignment="1" applyProtection="1">
      <alignment horizontal="left" vertical="top" wrapText="1"/>
      <protection locked="0"/>
    </xf>
    <xf numFmtId="17" fontId="0" fillId="3" borderId="0" xfId="0" applyNumberFormat="1" applyFill="1" applyAlignment="1" applyProtection="1">
      <alignment horizontal="left" vertical="top" wrapText="1"/>
      <protection locked="0"/>
    </xf>
    <xf numFmtId="167" fontId="16" fillId="3" borderId="4" xfId="0" applyNumberFormat="1" applyFont="1" applyFill="1" applyBorder="1" applyAlignment="1">
      <alignment horizontal="left" vertical="center" wrapText="1"/>
    </xf>
    <xf numFmtId="167" fontId="18" fillId="0" borderId="4" xfId="0" applyNumberFormat="1" applyFont="1" applyBorder="1" applyAlignment="1">
      <alignment horizontal="left" vertical="center" wrapText="1"/>
    </xf>
    <xf numFmtId="0" fontId="18" fillId="0" borderId="14" xfId="0" applyFont="1" applyBorder="1" applyAlignment="1">
      <alignment horizontal="center" vertical="center" wrapText="1"/>
    </xf>
    <xf numFmtId="0" fontId="18" fillId="7" borderId="14" xfId="0" applyFont="1" applyFill="1" applyBorder="1" applyAlignment="1">
      <alignment horizontal="center" vertical="center"/>
    </xf>
    <xf numFmtId="0" fontId="18" fillId="0" borderId="11" xfId="0" applyFont="1" applyBorder="1" applyAlignment="1">
      <alignment horizontal="center" vertical="center" wrapText="1"/>
    </xf>
    <xf numFmtId="0" fontId="18" fillId="7" borderId="11" xfId="0" applyFont="1" applyFill="1" applyBorder="1" applyAlignment="1">
      <alignment horizontal="center" vertical="center"/>
    </xf>
    <xf numFmtId="17" fontId="18" fillId="0" borderId="4" xfId="0" applyNumberFormat="1" applyFont="1" applyBorder="1" applyAlignment="1">
      <alignment horizontal="left" vertical="center" wrapText="1"/>
    </xf>
    <xf numFmtId="0" fontId="10" fillId="3" borderId="0" xfId="0" applyFont="1" applyFill="1" applyAlignment="1" applyProtection="1">
      <alignment horizontal="left" vertical="top" wrapText="1"/>
      <protection locked="0"/>
    </xf>
    <xf numFmtId="0" fontId="0" fillId="3" borderId="0" xfId="0" quotePrefix="1" applyFill="1" applyAlignment="1" applyProtection="1">
      <alignment horizontal="left" vertical="top" wrapText="1"/>
      <protection locked="0"/>
    </xf>
    <xf numFmtId="168" fontId="18" fillId="7" borderId="4" xfId="0" applyNumberFormat="1" applyFont="1" applyFill="1" applyBorder="1" applyAlignment="1">
      <alignment horizontal="left" vertical="center" wrapText="1"/>
    </xf>
    <xf numFmtId="168" fontId="18" fillId="7" borderId="4" xfId="0" applyNumberFormat="1" applyFont="1" applyFill="1" applyBorder="1" applyAlignment="1">
      <alignment vertical="center" wrapText="1"/>
    </xf>
    <xf numFmtId="0" fontId="9" fillId="3" borderId="11" xfId="0" applyFont="1" applyFill="1" applyBorder="1" applyAlignment="1" applyProtection="1">
      <alignment horizontal="center" vertical="center" wrapText="1"/>
      <protection locked="0"/>
    </xf>
    <xf numFmtId="167" fontId="16" fillId="3" borderId="13" xfId="0" applyNumberFormat="1" applyFont="1" applyFill="1" applyBorder="1" applyAlignment="1">
      <alignment horizontal="left" vertical="center" wrapText="1"/>
    </xf>
    <xf numFmtId="167" fontId="16" fillId="3" borderId="0" xfId="0" applyNumberFormat="1" applyFont="1" applyFill="1" applyAlignment="1">
      <alignment horizontal="left" vertical="center" wrapText="1"/>
    </xf>
    <xf numFmtId="167" fontId="18" fillId="7" borderId="4" xfId="0" applyNumberFormat="1" applyFont="1" applyFill="1" applyBorder="1" applyAlignment="1">
      <alignment horizontal="left" vertical="center" wrapText="1"/>
    </xf>
    <xf numFmtId="166" fontId="10" fillId="3" borderId="19" xfId="0" applyNumberFormat="1" applyFont="1" applyFill="1" applyBorder="1" applyAlignment="1" applyProtection="1">
      <alignment horizontal="left" vertical="top" wrapText="1"/>
      <protection locked="0"/>
    </xf>
    <xf numFmtId="167" fontId="16" fillId="3" borderId="20" xfId="0" applyNumberFormat="1" applyFont="1" applyFill="1" applyBorder="1" applyAlignment="1">
      <alignment horizontal="center" vertical="center" wrapText="1"/>
    </xf>
    <xf numFmtId="166" fontId="0" fillId="3" borderId="21" xfId="0" applyNumberFormat="1" applyFill="1" applyBorder="1" applyAlignment="1" applyProtection="1">
      <alignment horizontal="left" vertical="top" wrapText="1"/>
      <protection locked="0"/>
    </xf>
    <xf numFmtId="167" fontId="16" fillId="3" borderId="11" xfId="0" applyNumberFormat="1" applyFont="1" applyFill="1" applyBorder="1" applyAlignment="1">
      <alignment horizontal="left" vertical="center" wrapText="1"/>
    </xf>
    <xf numFmtId="167" fontId="18" fillId="0" borderId="11" xfId="0" applyNumberFormat="1" applyFont="1" applyBorder="1" applyAlignment="1">
      <alignment horizontal="left" vertical="center" wrapText="1"/>
    </xf>
    <xf numFmtId="0" fontId="10" fillId="6" borderId="22" xfId="0" applyFont="1" applyFill="1" applyBorder="1" applyAlignment="1" applyProtection="1">
      <alignment horizontal="left" vertical="top" wrapText="1"/>
      <protection locked="0"/>
    </xf>
    <xf numFmtId="17" fontId="10" fillId="6" borderId="22" xfId="0" applyNumberFormat="1" applyFont="1" applyFill="1" applyBorder="1" applyAlignment="1" applyProtection="1">
      <alignment horizontal="left" vertical="top" wrapText="1"/>
      <protection locked="0"/>
    </xf>
    <xf numFmtId="166" fontId="10" fillId="3" borderId="11" xfId="0" applyNumberFormat="1" applyFont="1" applyFill="1" applyBorder="1" applyAlignment="1" applyProtection="1">
      <alignment horizontal="left" vertical="center" wrapText="1"/>
      <protection locked="0"/>
    </xf>
    <xf numFmtId="17" fontId="18" fillId="7" borderId="4" xfId="0" applyNumberFormat="1" applyFont="1" applyFill="1" applyBorder="1" applyAlignment="1">
      <alignment horizontal="left" vertical="center" wrapText="1"/>
    </xf>
    <xf numFmtId="166" fontId="9" fillId="3" borderId="11" xfId="0" applyNumberFormat="1" applyFont="1" applyFill="1" applyBorder="1" applyAlignment="1" applyProtection="1">
      <alignment horizontal="left"/>
      <protection locked="0"/>
    </xf>
    <xf numFmtId="0" fontId="0" fillId="0" borderId="0" xfId="0" applyAlignment="1">
      <alignment wrapText="1"/>
    </xf>
    <xf numFmtId="0" fontId="13" fillId="3" borderId="11" xfId="0" applyFont="1" applyFill="1" applyBorder="1" applyAlignment="1">
      <alignment horizontal="center" vertical="center" wrapText="1"/>
    </xf>
    <xf numFmtId="166" fontId="13" fillId="3" borderId="11" xfId="0" applyNumberFormat="1" applyFont="1" applyFill="1" applyBorder="1" applyAlignment="1">
      <alignment horizontal="center" vertical="center" wrapText="1"/>
    </xf>
    <xf numFmtId="0" fontId="13" fillId="3" borderId="11" xfId="0" applyFont="1" applyFill="1" applyBorder="1" applyAlignment="1">
      <alignment horizontal="center" vertical="top" wrapText="1"/>
    </xf>
    <xf numFmtId="166" fontId="0" fillId="3" borderId="0" xfId="0" applyNumberFormat="1" applyFill="1" applyAlignment="1" applyProtection="1">
      <alignment horizontal="center"/>
      <protection locked="0"/>
    </xf>
    <xf numFmtId="168" fontId="18" fillId="7" borderId="0" xfId="0" applyNumberFormat="1" applyFont="1" applyFill="1" applyAlignment="1">
      <alignment vertical="center" wrapText="1"/>
    </xf>
    <xf numFmtId="0" fontId="18" fillId="7" borderId="0" xfId="0" applyFont="1" applyFill="1" applyAlignment="1">
      <alignment horizontal="left" vertical="center" wrapText="1"/>
    </xf>
    <xf numFmtId="17" fontId="18" fillId="7" borderId="0" xfId="0" applyNumberFormat="1" applyFont="1" applyFill="1" applyAlignment="1">
      <alignment horizontal="left" vertical="center" wrapText="1"/>
    </xf>
    <xf numFmtId="17" fontId="18" fillId="0" borderId="4" xfId="0" quotePrefix="1" applyNumberFormat="1" applyFont="1" applyBorder="1" applyAlignment="1">
      <alignment horizontal="left" vertical="center" wrapText="1"/>
    </xf>
    <xf numFmtId="0" fontId="18" fillId="0" borderId="23" xfId="0" applyFont="1" applyBorder="1" applyAlignment="1">
      <alignment horizontal="left" vertical="center" wrapText="1"/>
    </xf>
    <xf numFmtId="17" fontId="18" fillId="0" borderId="15" xfId="0" quotePrefix="1" applyNumberFormat="1" applyFont="1" applyBorder="1" applyAlignment="1">
      <alignment horizontal="left" vertical="center" wrapText="1"/>
    </xf>
    <xf numFmtId="17" fontId="16" fillId="3" borderId="4" xfId="0" quotePrefix="1" applyNumberFormat="1" applyFont="1" applyFill="1" applyBorder="1" applyAlignment="1">
      <alignment horizontal="left" vertical="center" wrapText="1"/>
    </xf>
    <xf numFmtId="0" fontId="18" fillId="0" borderId="8" xfId="0" applyFont="1" applyBorder="1" applyAlignment="1">
      <alignment horizontal="left" vertical="center" wrapText="1"/>
    </xf>
    <xf numFmtId="17" fontId="18" fillId="7" borderId="14" xfId="0" quotePrefix="1" applyNumberFormat="1" applyFont="1" applyFill="1" applyBorder="1" applyAlignment="1">
      <alignment horizontal="left" vertical="center" wrapText="1"/>
    </xf>
    <xf numFmtId="0" fontId="16" fillId="3" borderId="14" xfId="0" applyFont="1" applyFill="1" applyBorder="1" applyAlignment="1">
      <alignment horizontal="left" vertical="center" wrapText="1"/>
    </xf>
    <xf numFmtId="0" fontId="18" fillId="0" borderId="14" xfId="0" applyFont="1" applyBorder="1" applyAlignment="1">
      <alignment horizontal="left" vertical="center" wrapText="1"/>
    </xf>
    <xf numFmtId="17" fontId="18" fillId="7" borderId="11" xfId="0" quotePrefix="1" applyNumberFormat="1" applyFont="1" applyFill="1" applyBorder="1" applyAlignment="1">
      <alignment horizontal="left" vertical="center" wrapText="1"/>
    </xf>
    <xf numFmtId="0" fontId="16" fillId="3" borderId="11" xfId="0" applyFont="1" applyFill="1" applyBorder="1" applyAlignment="1">
      <alignment horizontal="left" vertical="center" wrapText="1"/>
    </xf>
    <xf numFmtId="0" fontId="18" fillId="0" borderId="11" xfId="0" applyFont="1" applyBorder="1" applyAlignment="1">
      <alignment horizontal="left" vertical="center" wrapText="1"/>
    </xf>
    <xf numFmtId="0" fontId="0" fillId="0" borderId="11" xfId="0" applyBorder="1" applyAlignment="1">
      <alignment horizontal="left" wrapText="1"/>
    </xf>
    <xf numFmtId="17" fontId="18" fillId="7" borderId="4" xfId="0" quotePrefix="1" applyNumberFormat="1" applyFont="1" applyFill="1" applyBorder="1" applyAlignment="1">
      <alignment horizontal="left" vertical="center" wrapText="1"/>
    </xf>
    <xf numFmtId="17" fontId="18" fillId="7" borderId="0" xfId="0" quotePrefix="1" applyNumberFormat="1" applyFont="1" applyFill="1" applyAlignment="1">
      <alignment horizontal="left" vertical="center" wrapText="1"/>
    </xf>
    <xf numFmtId="0" fontId="18" fillId="0" borderId="15" xfId="0" applyFont="1" applyBorder="1" applyAlignment="1">
      <alignment horizontal="left" vertical="center" wrapText="1"/>
    </xf>
    <xf numFmtId="17" fontId="18" fillId="0" borderId="15" xfId="0" applyNumberFormat="1" applyFont="1" applyBorder="1" applyAlignment="1">
      <alignment horizontal="left" vertical="center" wrapText="1"/>
    </xf>
    <xf numFmtId="17" fontId="16" fillId="3" borderId="4" xfId="0" applyNumberFormat="1" applyFont="1" applyFill="1" applyBorder="1" applyAlignment="1">
      <alignment horizontal="left" vertical="center" wrapText="1"/>
    </xf>
    <xf numFmtId="17" fontId="16" fillId="3" borderId="13" xfId="0" applyNumberFormat="1" applyFont="1" applyFill="1" applyBorder="1" applyAlignment="1">
      <alignment horizontal="left" vertical="center" wrapText="1"/>
    </xf>
    <xf numFmtId="17" fontId="16" fillId="3" borderId="14" xfId="0" applyNumberFormat="1" applyFont="1" applyFill="1" applyBorder="1" applyAlignment="1">
      <alignment horizontal="left" vertical="center" wrapText="1"/>
    </xf>
    <xf numFmtId="0" fontId="16" fillId="3" borderId="15" xfId="0" applyFont="1" applyFill="1" applyBorder="1" applyAlignment="1">
      <alignment horizontal="left" vertical="center" wrapText="1"/>
    </xf>
    <xf numFmtId="0" fontId="14" fillId="3" borderId="0" xfId="0" applyFont="1" applyFill="1" applyAlignment="1" applyProtection="1">
      <alignment horizontal="center"/>
      <protection locked="0"/>
    </xf>
    <xf numFmtId="166" fontId="13" fillId="3" borderId="0" xfId="0" applyNumberFormat="1" applyFont="1" applyFill="1" applyAlignment="1" applyProtection="1">
      <alignment horizontal="center"/>
      <protection locked="0"/>
    </xf>
    <xf numFmtId="0" fontId="20" fillId="8" borderId="18" xfId="0" applyFont="1" applyFill="1" applyBorder="1" applyAlignment="1">
      <alignment vertical="center" wrapText="1"/>
    </xf>
    <xf numFmtId="0" fontId="20" fillId="8" borderId="0" xfId="0" applyFont="1" applyFill="1" applyAlignment="1">
      <alignment vertical="center" wrapText="1"/>
    </xf>
    <xf numFmtId="0" fontId="16" fillId="0" borderId="16" xfId="0" applyFont="1" applyBorder="1" applyAlignment="1">
      <alignment vertical="top" wrapText="1"/>
    </xf>
    <xf numFmtId="0" fontId="16" fillId="0" borderId="17" xfId="0" applyFont="1" applyBorder="1" applyAlignment="1">
      <alignment vertical="top" wrapText="1"/>
    </xf>
    <xf numFmtId="166" fontId="0" fillId="3" borderId="0" xfId="0" applyNumberFormat="1" applyFill="1" applyAlignment="1" applyProtection="1">
      <alignment horizontal="center"/>
      <protection locked="0"/>
    </xf>
    <xf numFmtId="166" fontId="14" fillId="3" borderId="0" xfId="0" applyNumberFormat="1" applyFont="1" applyFill="1" applyAlignment="1" applyProtection="1">
      <alignment horizontal="center"/>
      <protection locked="0"/>
    </xf>
    <xf numFmtId="0" fontId="13" fillId="3" borderId="3" xfId="0" applyFont="1" applyFill="1" applyBorder="1" applyAlignment="1" applyProtection="1">
      <alignment horizontal="center" vertical="top" wrapText="1"/>
      <protection locked="0"/>
    </xf>
    <xf numFmtId="0" fontId="13" fillId="3" borderId="11" xfId="0" applyFont="1" applyFill="1" applyBorder="1" applyAlignment="1">
      <alignment horizontal="center" vertical="top" wrapText="1"/>
    </xf>
    <xf numFmtId="0" fontId="13" fillId="3" borderId="10" xfId="0" applyFont="1" applyFill="1" applyBorder="1" applyAlignment="1" applyProtection="1">
      <alignment horizontal="center" vertical="top" wrapText="1"/>
      <protection locked="0"/>
    </xf>
    <xf numFmtId="0" fontId="13" fillId="3" borderId="1" xfId="0" applyFont="1" applyFill="1" applyBorder="1" applyAlignment="1" applyProtection="1">
      <alignment horizontal="center" vertical="top" wrapText="1"/>
      <protection locked="0"/>
    </xf>
    <xf numFmtId="0" fontId="13" fillId="3" borderId="2" xfId="0" applyFont="1" applyFill="1" applyBorder="1" applyAlignment="1" applyProtection="1">
      <alignment horizontal="center" vertical="top" wrapText="1"/>
      <protection locked="0"/>
    </xf>
    <xf numFmtId="0" fontId="15" fillId="3" borderId="0" xfId="0" applyFont="1" applyFill="1" applyAlignment="1" applyProtection="1">
      <alignment horizontal="center"/>
      <protection locked="0"/>
    </xf>
    <xf numFmtId="0" fontId="13" fillId="3" borderId="11"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3" borderId="4" xfId="0" applyFont="1" applyFill="1" applyBorder="1" applyAlignment="1">
      <alignment horizontal="center"/>
    </xf>
    <xf numFmtId="0" fontId="2" fillId="3" borderId="4" xfId="0" applyFont="1" applyFill="1" applyBorder="1" applyAlignment="1">
      <alignment horizontal="left" vertical="center" wrapText="1"/>
    </xf>
    <xf numFmtId="0" fontId="6" fillId="3" borderId="4" xfId="0" applyFont="1" applyFill="1" applyBorder="1" applyAlignment="1">
      <alignment horizontal="center" vertical="center" wrapText="1"/>
    </xf>
  </cellXfs>
  <cellStyles count="17">
    <cellStyle name="cf1" xfId="1" xr:uid="{00000000-0005-0000-0000-000000000000}"/>
    <cellStyle name="cf10" xfId="2" xr:uid="{00000000-0005-0000-0000-000001000000}"/>
    <cellStyle name="cf2" xfId="3" xr:uid="{00000000-0005-0000-0000-000002000000}"/>
    <cellStyle name="cf3" xfId="4" xr:uid="{00000000-0005-0000-0000-000003000000}"/>
    <cellStyle name="cf4" xfId="5" xr:uid="{00000000-0005-0000-0000-000004000000}"/>
    <cellStyle name="cf5" xfId="6" xr:uid="{00000000-0005-0000-0000-000005000000}"/>
    <cellStyle name="cf6" xfId="7" xr:uid="{00000000-0005-0000-0000-000006000000}"/>
    <cellStyle name="cf7" xfId="8" xr:uid="{00000000-0005-0000-0000-000007000000}"/>
    <cellStyle name="cf8" xfId="9" xr:uid="{00000000-0005-0000-0000-000008000000}"/>
    <cellStyle name="cf9" xfId="10" xr:uid="{00000000-0005-0000-0000-000009000000}"/>
    <cellStyle name="Excel_BuiltIn_Comma" xfId="11" xr:uid="{00000000-0005-0000-0000-00000A000000}"/>
    <cellStyle name="Excel_BuiltIn_Hyperlink" xfId="12" xr:uid="{00000000-0005-0000-0000-00000B000000}"/>
    <cellStyle name="Heading" xfId="13" xr:uid="{00000000-0005-0000-0000-00000C000000}"/>
    <cellStyle name="Heading1" xfId="14" xr:uid="{00000000-0005-0000-0000-00000D000000}"/>
    <cellStyle name="Normal" xfId="0" builtinId="0" customBuiltin="1"/>
    <cellStyle name="Result" xfId="15" xr:uid="{00000000-0005-0000-0000-00000F000000}"/>
    <cellStyle name="Result2" xfId="16" xr:uid="{00000000-0005-0000-0000-000010000000}"/>
  </cellStyles>
  <dxfs count="56">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rd/Downloads/Public/Downloads/NEW%20APP%20Version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_validation"/>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http://www.dbm.gov.ph/wp-content/uploads/Issuances/2015/Circular%20Letter/CL2015_7-MYOA.pdf" TargetMode="External"/><Relationship Id="rId1" Type="http://schemas.openxmlformats.org/officeDocument/2006/relationships/hyperlink" Target="http://www.dbm.gov.ph/wp-content/uploads/UACS/UACS%20Prim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T312"/>
  <sheetViews>
    <sheetView tabSelected="1" view="pageBreakPreview" zoomScaleNormal="100" zoomScaleSheetLayoutView="100" workbookViewId="0">
      <pane xSplit="3" ySplit="4" topLeftCell="AQ5" activePane="bottomRight" state="frozen"/>
      <selection activeCell="A3" sqref="A3"/>
      <selection pane="topRight" activeCell="D3" sqref="D3"/>
      <selection pane="bottomLeft" activeCell="A8" sqref="A8"/>
      <selection pane="bottomRight" activeCell="B10" sqref="B10"/>
    </sheetView>
  </sheetViews>
  <sheetFormatPr defaultColWidth="9" defaultRowHeight="14"/>
  <cols>
    <col min="1" max="1" width="11.58203125" style="22" customWidth="1"/>
    <col min="2" max="2" width="23.58203125" style="1" customWidth="1"/>
    <col min="3" max="3" width="23" style="1" customWidth="1"/>
    <col min="4" max="4" width="33.08203125" style="1" customWidth="1"/>
    <col min="5" max="5" width="14.58203125" style="1" customWidth="1"/>
    <col min="6" max="8" width="14.58203125" style="38" customWidth="1"/>
    <col min="9" max="9" width="16.5" style="22" customWidth="1"/>
    <col min="10" max="10" width="17.33203125" style="45" customWidth="1"/>
    <col min="11" max="11" width="17" style="45" customWidth="1"/>
    <col min="12" max="12" width="12.75" style="1" customWidth="1"/>
    <col min="13" max="13" width="38.08203125" style="1" customWidth="1"/>
    <col min="14" max="41" width="8.33203125" style="1" hidden="1" customWidth="1"/>
    <col min="42" max="42" width="2.25" style="1" hidden="1" customWidth="1"/>
    <col min="43" max="254" width="8.5" style="1" customWidth="1"/>
    <col min="255" max="1021" width="10.75" customWidth="1"/>
    <col min="1022" max="1022" width="9" customWidth="1"/>
  </cols>
  <sheetData>
    <row r="1" spans="1:42" s="47" customFormat="1" ht="16.5">
      <c r="A1" s="152" t="s">
        <v>261</v>
      </c>
      <c r="B1" s="152"/>
      <c r="C1" s="152"/>
      <c r="D1" s="152"/>
      <c r="E1" s="152"/>
      <c r="F1" s="152"/>
      <c r="G1" s="152"/>
      <c r="H1" s="152"/>
      <c r="I1" s="152"/>
      <c r="J1" s="152"/>
      <c r="K1" s="152"/>
      <c r="L1" s="152"/>
      <c r="M1" s="152"/>
      <c r="N1" s="46" t="s">
        <v>0</v>
      </c>
      <c r="AC1" s="48"/>
      <c r="AD1" s="48"/>
      <c r="AE1" s="48"/>
      <c r="AF1" s="48"/>
    </row>
    <row r="2" spans="1:42" s="50" customFormat="1" ht="16" thickBot="1">
      <c r="A2" s="49"/>
      <c r="F2" s="51"/>
      <c r="G2" s="51"/>
      <c r="H2" s="51"/>
      <c r="I2" s="49"/>
      <c r="J2" s="52"/>
      <c r="K2" s="52"/>
      <c r="L2" s="49"/>
      <c r="AC2" s="49"/>
      <c r="AD2" s="49"/>
      <c r="AE2" s="49"/>
      <c r="AF2" s="49"/>
    </row>
    <row r="3" spans="1:42" s="53" customFormat="1" ht="16" thickBot="1">
      <c r="A3" s="153" t="s">
        <v>1</v>
      </c>
      <c r="B3" s="153" t="s">
        <v>2</v>
      </c>
      <c r="C3" s="153" t="s">
        <v>3</v>
      </c>
      <c r="D3" s="153" t="s">
        <v>4</v>
      </c>
      <c r="E3" s="148" t="s">
        <v>5</v>
      </c>
      <c r="F3" s="148"/>
      <c r="G3" s="148"/>
      <c r="H3" s="148"/>
      <c r="I3" s="153" t="s">
        <v>6</v>
      </c>
      <c r="J3" s="148" t="s">
        <v>7</v>
      </c>
      <c r="K3" s="148"/>
      <c r="L3" s="148"/>
      <c r="M3" s="148" t="s">
        <v>8</v>
      </c>
      <c r="N3" s="149" t="s">
        <v>3</v>
      </c>
      <c r="O3" s="150" t="s">
        <v>4</v>
      </c>
      <c r="P3" s="151" t="s">
        <v>5</v>
      </c>
      <c r="Q3" s="151"/>
      <c r="R3" s="151"/>
      <c r="S3" s="151"/>
      <c r="T3" s="151"/>
      <c r="U3" s="151"/>
      <c r="V3" s="151"/>
      <c r="W3" s="151"/>
      <c r="X3" s="151"/>
      <c r="Y3" s="151"/>
      <c r="Z3" s="151"/>
      <c r="AA3" s="151"/>
      <c r="AB3" s="150" t="s">
        <v>6</v>
      </c>
      <c r="AC3" s="151" t="s">
        <v>9</v>
      </c>
      <c r="AD3" s="151"/>
      <c r="AE3" s="151"/>
      <c r="AF3" s="150" t="s">
        <v>10</v>
      </c>
      <c r="AG3" s="151" t="s">
        <v>11</v>
      </c>
      <c r="AH3" s="151"/>
      <c r="AI3" s="151"/>
      <c r="AJ3" s="151"/>
      <c r="AK3" s="151"/>
      <c r="AL3" s="151"/>
      <c r="AM3" s="151"/>
      <c r="AN3" s="151"/>
      <c r="AO3" s="151"/>
      <c r="AP3" s="147" t="s">
        <v>12</v>
      </c>
    </row>
    <row r="4" spans="1:42" s="50" customFormat="1" ht="47.25" customHeight="1" thickTop="1" thickBot="1">
      <c r="A4" s="153"/>
      <c r="B4" s="153"/>
      <c r="C4" s="153"/>
      <c r="D4" s="153"/>
      <c r="E4" s="114" t="s">
        <v>259</v>
      </c>
      <c r="F4" s="114" t="s">
        <v>260</v>
      </c>
      <c r="G4" s="114" t="s">
        <v>13</v>
      </c>
      <c r="H4" s="114" t="s">
        <v>14</v>
      </c>
      <c r="I4" s="153"/>
      <c r="J4" s="113" t="s">
        <v>15</v>
      </c>
      <c r="K4" s="113" t="s">
        <v>16</v>
      </c>
      <c r="L4" s="112" t="s">
        <v>17</v>
      </c>
      <c r="M4" s="148"/>
      <c r="N4" s="149"/>
      <c r="O4" s="150"/>
      <c r="P4" s="54" t="s">
        <v>18</v>
      </c>
      <c r="Q4" s="55" t="s">
        <v>19</v>
      </c>
      <c r="R4" s="56" t="s">
        <v>20</v>
      </c>
      <c r="S4" s="56" t="s">
        <v>21</v>
      </c>
      <c r="T4" s="56" t="s">
        <v>22</v>
      </c>
      <c r="U4" s="56" t="s">
        <v>23</v>
      </c>
      <c r="V4" s="56" t="s">
        <v>24</v>
      </c>
      <c r="W4" s="56" t="s">
        <v>25</v>
      </c>
      <c r="X4" s="56" t="s">
        <v>14</v>
      </c>
      <c r="Y4" s="56" t="s">
        <v>26</v>
      </c>
      <c r="Z4" s="56" t="s">
        <v>27</v>
      </c>
      <c r="AA4" s="56" t="s">
        <v>28</v>
      </c>
      <c r="AB4" s="150"/>
      <c r="AC4" s="55" t="s">
        <v>15</v>
      </c>
      <c r="AD4" s="56" t="s">
        <v>16</v>
      </c>
      <c r="AE4" s="54" t="s">
        <v>17</v>
      </c>
      <c r="AF4" s="150"/>
      <c r="AG4" s="55" t="s">
        <v>29</v>
      </c>
      <c r="AH4" s="56" t="s">
        <v>20</v>
      </c>
      <c r="AI4" s="56" t="s">
        <v>21</v>
      </c>
      <c r="AJ4" s="56" t="s">
        <v>22</v>
      </c>
      <c r="AK4" s="56" t="s">
        <v>23</v>
      </c>
      <c r="AL4" s="56" t="s">
        <v>24</v>
      </c>
      <c r="AM4" s="56" t="s">
        <v>25</v>
      </c>
      <c r="AN4" s="56" t="s">
        <v>14</v>
      </c>
      <c r="AO4" s="56" t="s">
        <v>27</v>
      </c>
      <c r="AP4" s="147"/>
    </row>
    <row r="5" spans="1:42" s="39" customFormat="1" ht="28.5" thickTop="1">
      <c r="A5" s="26">
        <v>5020321002</v>
      </c>
      <c r="B5" s="25" t="s">
        <v>132</v>
      </c>
      <c r="C5" s="26" t="s">
        <v>105</v>
      </c>
      <c r="D5" s="27" t="s">
        <v>30</v>
      </c>
      <c r="E5" s="28" t="s">
        <v>122</v>
      </c>
      <c r="F5" s="28" t="s">
        <v>122</v>
      </c>
      <c r="G5" s="28" t="s">
        <v>122</v>
      </c>
      <c r="H5" s="28" t="s">
        <v>122</v>
      </c>
      <c r="I5" s="27" t="s">
        <v>84</v>
      </c>
      <c r="J5" s="29">
        <v>1199976</v>
      </c>
      <c r="K5" s="29">
        <f t="shared" ref="K5:K15" si="0">J5</f>
        <v>1199976</v>
      </c>
      <c r="L5" s="30"/>
      <c r="M5" s="30"/>
      <c r="AC5" s="40"/>
      <c r="AD5" s="40"/>
      <c r="AE5" s="40"/>
      <c r="AF5" s="40"/>
    </row>
    <row r="6" spans="1:42" s="39" customFormat="1" ht="28">
      <c r="A6" s="26">
        <v>5020321002</v>
      </c>
      <c r="B6" s="26" t="s">
        <v>132</v>
      </c>
      <c r="C6" s="26" t="s">
        <v>105</v>
      </c>
      <c r="D6" s="27" t="s">
        <v>34</v>
      </c>
      <c r="E6" s="78" t="s">
        <v>316</v>
      </c>
      <c r="F6" s="28" t="s">
        <v>104</v>
      </c>
      <c r="G6" s="28" t="s">
        <v>104</v>
      </c>
      <c r="H6" s="28" t="s">
        <v>104</v>
      </c>
      <c r="I6" s="27" t="s">
        <v>84</v>
      </c>
      <c r="J6" s="29">
        <v>280000</v>
      </c>
      <c r="K6" s="29">
        <f t="shared" si="0"/>
        <v>280000</v>
      </c>
      <c r="L6" s="30"/>
      <c r="M6" s="30" t="s">
        <v>324</v>
      </c>
      <c r="AC6" s="40"/>
      <c r="AD6" s="40"/>
      <c r="AE6" s="40"/>
      <c r="AF6" s="40"/>
    </row>
    <row r="7" spans="1:42" s="39" customFormat="1" ht="28">
      <c r="A7" s="26">
        <v>5020321002</v>
      </c>
      <c r="B7" s="26" t="s">
        <v>132</v>
      </c>
      <c r="C7" s="26" t="s">
        <v>212</v>
      </c>
      <c r="D7" s="27" t="s">
        <v>30</v>
      </c>
      <c r="E7" s="28" t="s">
        <v>122</v>
      </c>
      <c r="F7" s="28" t="s">
        <v>122</v>
      </c>
      <c r="G7" s="28" t="s">
        <v>122</v>
      </c>
      <c r="H7" s="28" t="s">
        <v>122</v>
      </c>
      <c r="I7" s="27" t="s">
        <v>84</v>
      </c>
      <c r="J7" s="29">
        <v>2499215</v>
      </c>
      <c r="K7" s="29">
        <f t="shared" si="0"/>
        <v>2499215</v>
      </c>
      <c r="L7" s="30"/>
      <c r="M7" s="30"/>
      <c r="AC7" s="40"/>
      <c r="AD7" s="40"/>
      <c r="AE7" s="40"/>
      <c r="AF7" s="40"/>
    </row>
    <row r="8" spans="1:42" s="39" customFormat="1" ht="28">
      <c r="A8" s="26">
        <v>5020321002</v>
      </c>
      <c r="B8" s="26" t="s">
        <v>132</v>
      </c>
      <c r="C8" s="26" t="s">
        <v>232</v>
      </c>
      <c r="D8" s="27" t="s">
        <v>30</v>
      </c>
      <c r="E8" s="28" t="s">
        <v>121</v>
      </c>
      <c r="F8" s="28" t="s">
        <v>121</v>
      </c>
      <c r="G8" s="28" t="s">
        <v>121</v>
      </c>
      <c r="H8" s="28" t="s">
        <v>121</v>
      </c>
      <c r="I8" s="27" t="s">
        <v>84</v>
      </c>
      <c r="J8" s="29">
        <v>5000000</v>
      </c>
      <c r="K8" s="29">
        <f t="shared" si="0"/>
        <v>5000000</v>
      </c>
      <c r="L8" s="30"/>
      <c r="M8" s="30"/>
      <c r="AC8" s="40"/>
      <c r="AD8" s="40"/>
      <c r="AE8" s="40"/>
      <c r="AF8" s="40"/>
    </row>
    <row r="9" spans="1:42" s="39" customFormat="1" ht="28">
      <c r="A9" s="26">
        <v>5020321002</v>
      </c>
      <c r="B9" s="26" t="s">
        <v>132</v>
      </c>
      <c r="C9" s="26" t="s">
        <v>232</v>
      </c>
      <c r="D9" s="27" t="s">
        <v>43</v>
      </c>
      <c r="E9" s="78" t="s">
        <v>331</v>
      </c>
      <c r="F9" s="27" t="s">
        <v>104</v>
      </c>
      <c r="G9" s="33" t="s">
        <v>104</v>
      </c>
      <c r="H9" s="33" t="s">
        <v>104</v>
      </c>
      <c r="I9" s="27" t="s">
        <v>84</v>
      </c>
      <c r="J9" s="29">
        <v>280000</v>
      </c>
      <c r="K9" s="29">
        <f t="shared" si="0"/>
        <v>280000</v>
      </c>
      <c r="L9" s="30"/>
      <c r="M9" s="30" t="s">
        <v>332</v>
      </c>
      <c r="AC9" s="40"/>
      <c r="AD9" s="40"/>
      <c r="AE9" s="40"/>
      <c r="AF9" s="40"/>
    </row>
    <row r="10" spans="1:42" s="39" customFormat="1" ht="28">
      <c r="A10" s="26">
        <v>5020321002</v>
      </c>
      <c r="B10" s="26" t="s">
        <v>132</v>
      </c>
      <c r="C10" s="26" t="s">
        <v>232</v>
      </c>
      <c r="D10" s="27" t="s">
        <v>43</v>
      </c>
      <c r="E10" s="78" t="s">
        <v>331</v>
      </c>
      <c r="F10" s="27" t="s">
        <v>104</v>
      </c>
      <c r="G10" s="33" t="s">
        <v>104</v>
      </c>
      <c r="H10" s="33" t="s">
        <v>104</v>
      </c>
      <c r="I10" s="27" t="s">
        <v>84</v>
      </c>
      <c r="J10" s="29">
        <v>250000</v>
      </c>
      <c r="K10" s="29">
        <f t="shared" si="0"/>
        <v>250000</v>
      </c>
      <c r="L10" s="30"/>
      <c r="M10" s="30" t="s">
        <v>333</v>
      </c>
      <c r="AC10" s="40"/>
      <c r="AD10" s="40"/>
      <c r="AE10" s="40"/>
      <c r="AF10" s="40"/>
    </row>
    <row r="11" spans="1:42" s="39" customFormat="1" ht="28">
      <c r="A11" s="26">
        <v>5020321002</v>
      </c>
      <c r="B11" s="26" t="s">
        <v>132</v>
      </c>
      <c r="C11" s="26" t="s">
        <v>232</v>
      </c>
      <c r="D11" s="27" t="s">
        <v>32</v>
      </c>
      <c r="E11" s="78" t="s">
        <v>303</v>
      </c>
      <c r="F11" s="27" t="s">
        <v>104</v>
      </c>
      <c r="G11" s="33" t="s">
        <v>104</v>
      </c>
      <c r="H11" s="33" t="s">
        <v>104</v>
      </c>
      <c r="I11" s="27" t="s">
        <v>84</v>
      </c>
      <c r="J11" s="29">
        <v>380000</v>
      </c>
      <c r="K11" s="29">
        <f t="shared" si="0"/>
        <v>380000</v>
      </c>
      <c r="L11" s="30"/>
      <c r="M11" s="30" t="s">
        <v>334</v>
      </c>
      <c r="AC11" s="40"/>
      <c r="AD11" s="40"/>
      <c r="AE11" s="40"/>
      <c r="AF11" s="40"/>
    </row>
    <row r="12" spans="1:42" s="39" customFormat="1" ht="28">
      <c r="A12" s="26">
        <v>5020321002</v>
      </c>
      <c r="B12" s="26" t="s">
        <v>132</v>
      </c>
      <c r="C12" s="26" t="s">
        <v>232</v>
      </c>
      <c r="D12" s="27" t="s">
        <v>43</v>
      </c>
      <c r="E12" s="78" t="s">
        <v>335</v>
      </c>
      <c r="F12" s="27" t="s">
        <v>104</v>
      </c>
      <c r="G12" s="33" t="s">
        <v>104</v>
      </c>
      <c r="H12" s="33" t="s">
        <v>104</v>
      </c>
      <c r="I12" s="27" t="s">
        <v>84</v>
      </c>
      <c r="J12" s="29">
        <v>200000</v>
      </c>
      <c r="K12" s="29">
        <f t="shared" si="0"/>
        <v>200000</v>
      </c>
      <c r="L12" s="30"/>
      <c r="M12" s="30" t="s">
        <v>337</v>
      </c>
      <c r="AC12" s="40"/>
      <c r="AD12" s="40"/>
      <c r="AE12" s="40"/>
      <c r="AF12" s="40"/>
    </row>
    <row r="13" spans="1:42" s="39" customFormat="1" ht="28">
      <c r="A13" s="26">
        <v>5020399000</v>
      </c>
      <c r="B13" s="25" t="s">
        <v>129</v>
      </c>
      <c r="C13" s="26" t="s">
        <v>105</v>
      </c>
      <c r="D13" s="27" t="s">
        <v>30</v>
      </c>
      <c r="E13" s="28" t="s">
        <v>122</v>
      </c>
      <c r="F13" s="28" t="s">
        <v>122</v>
      </c>
      <c r="G13" s="28" t="s">
        <v>122</v>
      </c>
      <c r="H13" s="28" t="s">
        <v>122</v>
      </c>
      <c r="I13" s="27" t="s">
        <v>84</v>
      </c>
      <c r="J13" s="29">
        <f>615000+975000</f>
        <v>1590000</v>
      </c>
      <c r="K13" s="29">
        <f t="shared" si="0"/>
        <v>1590000</v>
      </c>
      <c r="L13" s="30"/>
      <c r="M13" s="30"/>
      <c r="AC13" s="40"/>
      <c r="AD13" s="40"/>
      <c r="AE13" s="40"/>
      <c r="AF13" s="40"/>
    </row>
    <row r="14" spans="1:42" s="39" customFormat="1" ht="28">
      <c r="A14" s="26">
        <v>5020399000</v>
      </c>
      <c r="B14" s="25" t="s">
        <v>141</v>
      </c>
      <c r="C14" s="26" t="s">
        <v>140</v>
      </c>
      <c r="D14" s="27" t="s">
        <v>30</v>
      </c>
      <c r="E14" s="28" t="s">
        <v>122</v>
      </c>
      <c r="F14" s="28" t="s">
        <v>122</v>
      </c>
      <c r="G14" s="28" t="s">
        <v>122</v>
      </c>
      <c r="H14" s="28" t="s">
        <v>122</v>
      </c>
      <c r="I14" s="27" t="s">
        <v>84</v>
      </c>
      <c r="J14" s="29">
        <v>37939920</v>
      </c>
      <c r="K14" s="29">
        <f t="shared" si="0"/>
        <v>37939920</v>
      </c>
      <c r="L14" s="30"/>
      <c r="M14" s="30"/>
      <c r="AC14" s="40"/>
      <c r="AD14" s="40"/>
      <c r="AE14" s="40"/>
      <c r="AF14" s="40"/>
    </row>
    <row r="15" spans="1:42" s="39" customFormat="1" ht="56">
      <c r="A15" s="26">
        <v>5020399000</v>
      </c>
      <c r="B15" s="25" t="s">
        <v>143</v>
      </c>
      <c r="C15" s="26" t="s">
        <v>140</v>
      </c>
      <c r="D15" s="27" t="s">
        <v>30</v>
      </c>
      <c r="E15" s="28" t="s">
        <v>145</v>
      </c>
      <c r="F15" s="28" t="s">
        <v>145</v>
      </c>
      <c r="G15" s="28" t="s">
        <v>145</v>
      </c>
      <c r="H15" s="28" t="s">
        <v>145</v>
      </c>
      <c r="I15" s="27" t="s">
        <v>84</v>
      </c>
      <c r="J15" s="29">
        <v>178540800</v>
      </c>
      <c r="K15" s="29">
        <f t="shared" si="0"/>
        <v>178540800</v>
      </c>
      <c r="L15" s="30"/>
      <c r="M15" s="30"/>
      <c r="AC15" s="40"/>
      <c r="AD15" s="40"/>
      <c r="AE15" s="40"/>
      <c r="AF15" s="40"/>
    </row>
    <row r="16" spans="1:42" s="39" customFormat="1" ht="42">
      <c r="A16" s="26">
        <v>5020201002</v>
      </c>
      <c r="B16" s="31" t="s">
        <v>96</v>
      </c>
      <c r="C16" s="26" t="s">
        <v>151</v>
      </c>
      <c r="D16" s="27" t="s">
        <v>30</v>
      </c>
      <c r="E16" s="26" t="s">
        <v>152</v>
      </c>
      <c r="F16" s="26" t="s">
        <v>152</v>
      </c>
      <c r="G16" s="26" t="s">
        <v>152</v>
      </c>
      <c r="H16" s="26" t="s">
        <v>152</v>
      </c>
      <c r="I16" s="27" t="s">
        <v>84</v>
      </c>
      <c r="J16" s="29">
        <f>1495000+1495000</f>
        <v>2990000</v>
      </c>
      <c r="K16" s="29">
        <f t="shared" ref="K16:K62" si="1">J16</f>
        <v>2990000</v>
      </c>
      <c r="L16" s="30"/>
      <c r="M16" s="30"/>
      <c r="AC16" s="40"/>
      <c r="AD16" s="40"/>
      <c r="AE16" s="40"/>
      <c r="AF16" s="40"/>
    </row>
    <row r="17" spans="1:32" s="39" customFormat="1" ht="28">
      <c r="A17" s="26">
        <v>5021203000</v>
      </c>
      <c r="B17" s="31" t="s">
        <v>178</v>
      </c>
      <c r="C17" s="26" t="s">
        <v>177</v>
      </c>
      <c r="D17" s="27" t="s">
        <v>30</v>
      </c>
      <c r="E17" s="26" t="s">
        <v>179</v>
      </c>
      <c r="F17" s="26" t="s">
        <v>179</v>
      </c>
      <c r="G17" s="26" t="s">
        <v>179</v>
      </c>
      <c r="H17" s="26" t="s">
        <v>179</v>
      </c>
      <c r="I17" s="27" t="s">
        <v>84</v>
      </c>
      <c r="J17" s="29">
        <v>16198163.880000001</v>
      </c>
      <c r="K17" s="29">
        <f t="shared" si="1"/>
        <v>16198163.880000001</v>
      </c>
      <c r="L17" s="30"/>
      <c r="M17" s="30"/>
      <c r="AC17" s="40"/>
      <c r="AD17" s="40"/>
      <c r="AE17" s="40"/>
      <c r="AF17" s="40"/>
    </row>
    <row r="18" spans="1:32" s="39" customFormat="1" ht="28">
      <c r="A18" s="26">
        <v>5021299099</v>
      </c>
      <c r="B18" s="31" t="s">
        <v>180</v>
      </c>
      <c r="C18" s="26" t="s">
        <v>177</v>
      </c>
      <c r="D18" s="27" t="s">
        <v>30</v>
      </c>
      <c r="E18" s="26" t="s">
        <v>179</v>
      </c>
      <c r="F18" s="26" t="s">
        <v>179</v>
      </c>
      <c r="G18" s="26" t="s">
        <v>179</v>
      </c>
      <c r="H18" s="26" t="s">
        <v>179</v>
      </c>
      <c r="I18" s="27" t="s">
        <v>84</v>
      </c>
      <c r="J18" s="29">
        <v>2118444.48</v>
      </c>
      <c r="K18" s="29">
        <f t="shared" si="1"/>
        <v>2118444.48</v>
      </c>
      <c r="L18" s="30"/>
      <c r="M18" s="30"/>
      <c r="AC18" s="40"/>
      <c r="AD18" s="40"/>
      <c r="AE18" s="40"/>
      <c r="AF18" s="40"/>
    </row>
    <row r="19" spans="1:32" s="39" customFormat="1" ht="70">
      <c r="A19" s="26">
        <v>5020399000</v>
      </c>
      <c r="B19" s="31" t="s">
        <v>189</v>
      </c>
      <c r="C19" s="26" t="s">
        <v>190</v>
      </c>
      <c r="D19" s="27" t="s">
        <v>30</v>
      </c>
      <c r="E19" s="26" t="s">
        <v>191</v>
      </c>
      <c r="F19" s="26" t="s">
        <v>191</v>
      </c>
      <c r="G19" s="26" t="s">
        <v>191</v>
      </c>
      <c r="H19" s="26" t="s">
        <v>191</v>
      </c>
      <c r="I19" s="27" t="s">
        <v>84</v>
      </c>
      <c r="J19" s="29">
        <v>44150527.32</v>
      </c>
      <c r="K19" s="29">
        <f t="shared" si="1"/>
        <v>44150527.32</v>
      </c>
      <c r="L19" s="30"/>
      <c r="M19" s="30"/>
      <c r="AC19" s="40"/>
      <c r="AD19" s="40"/>
      <c r="AE19" s="40"/>
      <c r="AF19" s="40"/>
    </row>
    <row r="20" spans="1:32" s="39" customFormat="1" ht="28">
      <c r="A20" s="26">
        <v>5020399000</v>
      </c>
      <c r="B20" s="31" t="s">
        <v>207</v>
      </c>
      <c r="C20" s="26" t="s">
        <v>198</v>
      </c>
      <c r="D20" s="27" t="s">
        <v>30</v>
      </c>
      <c r="E20" s="28" t="s">
        <v>370</v>
      </c>
      <c r="F20" s="28" t="s">
        <v>116</v>
      </c>
      <c r="G20" s="28" t="s">
        <v>116</v>
      </c>
      <c r="H20" s="28" t="s">
        <v>116</v>
      </c>
      <c r="I20" s="27" t="s">
        <v>84</v>
      </c>
      <c r="J20" s="29">
        <f>5332000+1711200+1317500+5381600+1681750+3499125</f>
        <v>18923175</v>
      </c>
      <c r="K20" s="29">
        <f t="shared" si="1"/>
        <v>18923175</v>
      </c>
      <c r="L20" s="30"/>
      <c r="M20" s="30" t="s">
        <v>371</v>
      </c>
      <c r="AC20" s="40"/>
      <c r="AD20" s="40"/>
      <c r="AE20" s="40"/>
      <c r="AF20" s="40"/>
    </row>
    <row r="21" spans="1:32" s="41" customFormat="1" ht="28">
      <c r="A21" s="60">
        <v>50203050</v>
      </c>
      <c r="B21" s="35" t="s">
        <v>112</v>
      </c>
      <c r="C21" s="26" t="s">
        <v>111</v>
      </c>
      <c r="D21" s="26" t="s">
        <v>39</v>
      </c>
      <c r="E21" s="26" t="s">
        <v>121</v>
      </c>
      <c r="F21" s="27" t="s">
        <v>104</v>
      </c>
      <c r="G21" s="33" t="s">
        <v>104</v>
      </c>
      <c r="H21" s="33" t="s">
        <v>104</v>
      </c>
      <c r="I21" s="27" t="s">
        <v>84</v>
      </c>
      <c r="J21" s="29">
        <f>75000</f>
        <v>75000</v>
      </c>
      <c r="K21" s="29">
        <f t="shared" si="1"/>
        <v>75000</v>
      </c>
      <c r="L21" s="30"/>
      <c r="M21" s="30"/>
    </row>
    <row r="22" spans="1:32" s="41" customFormat="1" ht="28">
      <c r="A22" s="60">
        <v>50203050</v>
      </c>
      <c r="B22" s="36" t="s">
        <v>112</v>
      </c>
      <c r="C22" s="26" t="s">
        <v>140</v>
      </c>
      <c r="D22" s="26" t="s">
        <v>39</v>
      </c>
      <c r="E22" s="26" t="s">
        <v>122</v>
      </c>
      <c r="F22" s="27" t="s">
        <v>104</v>
      </c>
      <c r="G22" s="33" t="s">
        <v>104</v>
      </c>
      <c r="H22" s="33" t="s">
        <v>104</v>
      </c>
      <c r="I22" s="27" t="s">
        <v>84</v>
      </c>
      <c r="J22" s="29">
        <v>17854080</v>
      </c>
      <c r="K22" s="29">
        <f t="shared" si="1"/>
        <v>17854080</v>
      </c>
      <c r="L22" s="30"/>
      <c r="M22" s="30"/>
    </row>
    <row r="23" spans="1:32" s="41" customFormat="1">
      <c r="A23" s="60">
        <v>50203050</v>
      </c>
      <c r="B23" s="36" t="s">
        <v>112</v>
      </c>
      <c r="C23" s="26" t="s">
        <v>198</v>
      </c>
      <c r="D23" s="26" t="s">
        <v>39</v>
      </c>
      <c r="E23" s="26" t="s">
        <v>116</v>
      </c>
      <c r="F23" s="27" t="s">
        <v>104</v>
      </c>
      <c r="G23" s="33" t="s">
        <v>104</v>
      </c>
      <c r="H23" s="33" t="s">
        <v>104</v>
      </c>
      <c r="I23" s="27" t="s">
        <v>84</v>
      </c>
      <c r="J23" s="29">
        <v>4575000</v>
      </c>
      <c r="K23" s="29">
        <f t="shared" si="1"/>
        <v>4575000</v>
      </c>
      <c r="L23" s="30"/>
      <c r="M23" s="30"/>
    </row>
    <row r="24" spans="1:32" s="41" customFormat="1" ht="28">
      <c r="A24" s="60">
        <v>50203050</v>
      </c>
      <c r="B24" s="36" t="s">
        <v>112</v>
      </c>
      <c r="C24" s="26" t="s">
        <v>220</v>
      </c>
      <c r="D24" s="26" t="s">
        <v>39</v>
      </c>
      <c r="E24" s="26" t="s">
        <v>122</v>
      </c>
      <c r="F24" s="27" t="s">
        <v>104</v>
      </c>
      <c r="G24" s="33" t="s">
        <v>104</v>
      </c>
      <c r="H24" s="33" t="s">
        <v>104</v>
      </c>
      <c r="I24" s="27" t="s">
        <v>84</v>
      </c>
      <c r="J24" s="29">
        <v>50000</v>
      </c>
      <c r="K24" s="29">
        <f t="shared" si="1"/>
        <v>50000</v>
      </c>
      <c r="L24" s="30"/>
      <c r="M24" s="30"/>
    </row>
    <row r="25" spans="1:32" s="41" customFormat="1" ht="42">
      <c r="A25" s="60">
        <v>50203050</v>
      </c>
      <c r="B25" s="36" t="s">
        <v>112</v>
      </c>
      <c r="C25" s="26" t="s">
        <v>225</v>
      </c>
      <c r="D25" s="26" t="s">
        <v>39</v>
      </c>
      <c r="E25" s="26" t="s">
        <v>191</v>
      </c>
      <c r="F25" s="27" t="s">
        <v>104</v>
      </c>
      <c r="G25" s="33" t="s">
        <v>104</v>
      </c>
      <c r="H25" s="33" t="s">
        <v>104</v>
      </c>
      <c r="I25" s="27" t="s">
        <v>84</v>
      </c>
      <c r="J25" s="29">
        <v>125000</v>
      </c>
      <c r="K25" s="29">
        <f t="shared" si="1"/>
        <v>125000</v>
      </c>
      <c r="L25" s="30"/>
      <c r="M25" s="30"/>
    </row>
    <row r="26" spans="1:32" s="41" customFormat="1">
      <c r="A26" s="60">
        <v>50203050</v>
      </c>
      <c r="B26" s="36" t="s">
        <v>302</v>
      </c>
      <c r="C26" s="26" t="s">
        <v>190</v>
      </c>
      <c r="D26" s="27" t="s">
        <v>30</v>
      </c>
      <c r="E26" s="78" t="s">
        <v>298</v>
      </c>
      <c r="F26" s="27" t="s">
        <v>104</v>
      </c>
      <c r="G26" s="33" t="s">
        <v>104</v>
      </c>
      <c r="H26" s="33" t="s">
        <v>104</v>
      </c>
      <c r="I26" s="27" t="s">
        <v>84</v>
      </c>
      <c r="J26" s="29">
        <v>1107000</v>
      </c>
      <c r="K26" s="29">
        <f t="shared" si="1"/>
        <v>1107000</v>
      </c>
      <c r="L26" s="30"/>
      <c r="M26" s="30" t="s">
        <v>302</v>
      </c>
    </row>
    <row r="27" spans="1:32" s="41" customFormat="1">
      <c r="A27" s="60">
        <v>50203020</v>
      </c>
      <c r="B27" s="35" t="s">
        <v>147</v>
      </c>
      <c r="C27" s="26" t="s">
        <v>148</v>
      </c>
      <c r="D27" s="26" t="s">
        <v>39</v>
      </c>
      <c r="E27" s="26" t="s">
        <v>122</v>
      </c>
      <c r="F27" s="27" t="s">
        <v>104</v>
      </c>
      <c r="G27" s="33" t="s">
        <v>104</v>
      </c>
      <c r="H27" s="33" t="s">
        <v>104</v>
      </c>
      <c r="I27" s="27" t="s">
        <v>84</v>
      </c>
      <c r="J27" s="29">
        <v>19200</v>
      </c>
      <c r="K27" s="29">
        <f t="shared" si="1"/>
        <v>19200</v>
      </c>
      <c r="L27" s="30"/>
      <c r="M27" s="30"/>
    </row>
    <row r="28" spans="1:32" s="41" customFormat="1" ht="28">
      <c r="A28" s="26">
        <v>5020399000</v>
      </c>
      <c r="B28" s="35" t="s">
        <v>142</v>
      </c>
      <c r="C28" s="26" t="s">
        <v>140</v>
      </c>
      <c r="D28" s="26" t="s">
        <v>39</v>
      </c>
      <c r="E28" s="26" t="s">
        <v>122</v>
      </c>
      <c r="F28" s="27" t="s">
        <v>104</v>
      </c>
      <c r="G28" s="33" t="s">
        <v>104</v>
      </c>
      <c r="H28" s="33" t="s">
        <v>104</v>
      </c>
      <c r="I28" s="27" t="s">
        <v>84</v>
      </c>
      <c r="J28" s="29">
        <v>420000</v>
      </c>
      <c r="K28" s="29">
        <f t="shared" si="1"/>
        <v>420000</v>
      </c>
      <c r="L28" s="30"/>
      <c r="M28" s="30"/>
    </row>
    <row r="29" spans="1:32" s="41" customFormat="1" ht="28">
      <c r="A29" s="26">
        <v>5029905001</v>
      </c>
      <c r="B29" s="25" t="s">
        <v>136</v>
      </c>
      <c r="C29" s="26" t="s">
        <v>105</v>
      </c>
      <c r="D29" s="26" t="s">
        <v>107</v>
      </c>
      <c r="E29" s="26" t="s">
        <v>116</v>
      </c>
      <c r="F29" s="27" t="s">
        <v>104</v>
      </c>
      <c r="G29" s="33" t="s">
        <v>104</v>
      </c>
      <c r="H29" s="33" t="s">
        <v>104</v>
      </c>
      <c r="I29" s="27" t="s">
        <v>84</v>
      </c>
      <c r="J29" s="29">
        <f>544320</f>
        <v>544320</v>
      </c>
      <c r="K29" s="29">
        <f t="shared" si="1"/>
        <v>544320</v>
      </c>
      <c r="L29" s="30"/>
      <c r="M29" s="30"/>
    </row>
    <row r="30" spans="1:32" s="41" customFormat="1" ht="42">
      <c r="A30" s="26">
        <v>5029905001</v>
      </c>
      <c r="B30" s="26" t="s">
        <v>136</v>
      </c>
      <c r="C30" s="26" t="s">
        <v>144</v>
      </c>
      <c r="D30" s="26" t="s">
        <v>107</v>
      </c>
      <c r="E30" s="26" t="s">
        <v>146</v>
      </c>
      <c r="F30" s="27" t="s">
        <v>104</v>
      </c>
      <c r="G30" s="33" t="s">
        <v>104</v>
      </c>
      <c r="H30" s="33" t="s">
        <v>104</v>
      </c>
      <c r="I30" s="27" t="s">
        <v>84</v>
      </c>
      <c r="J30" s="29">
        <v>180000</v>
      </c>
      <c r="K30" s="29">
        <f t="shared" si="1"/>
        <v>180000</v>
      </c>
      <c r="L30" s="30"/>
      <c r="M30" s="30"/>
    </row>
    <row r="31" spans="1:32" s="41" customFormat="1" ht="42">
      <c r="A31" s="26">
        <v>5029905001</v>
      </c>
      <c r="B31" s="26" t="s">
        <v>136</v>
      </c>
      <c r="C31" s="26" t="s">
        <v>175</v>
      </c>
      <c r="D31" s="26" t="s">
        <v>107</v>
      </c>
      <c r="E31" s="26" t="s">
        <v>146</v>
      </c>
      <c r="F31" s="27" t="s">
        <v>104</v>
      </c>
      <c r="G31" s="33" t="s">
        <v>104</v>
      </c>
      <c r="H31" s="33" t="s">
        <v>104</v>
      </c>
      <c r="I31" s="27" t="s">
        <v>84</v>
      </c>
      <c r="J31" s="29">
        <v>708000</v>
      </c>
      <c r="K31" s="29">
        <f t="shared" si="1"/>
        <v>708000</v>
      </c>
      <c r="L31" s="30"/>
      <c r="M31" s="30"/>
    </row>
    <row r="32" spans="1:32" s="41" customFormat="1" ht="42">
      <c r="A32" s="26">
        <v>5029905001</v>
      </c>
      <c r="B32" s="26" t="s">
        <v>136</v>
      </c>
      <c r="C32" s="26" t="s">
        <v>220</v>
      </c>
      <c r="D32" s="26" t="s">
        <v>107</v>
      </c>
      <c r="E32" s="26" t="s">
        <v>146</v>
      </c>
      <c r="F32" s="27" t="s">
        <v>104</v>
      </c>
      <c r="G32" s="33" t="s">
        <v>104</v>
      </c>
      <c r="H32" s="33" t="s">
        <v>104</v>
      </c>
      <c r="I32" s="27" t="s">
        <v>84</v>
      </c>
      <c r="J32" s="29">
        <v>840000</v>
      </c>
      <c r="K32" s="29">
        <f t="shared" si="1"/>
        <v>840000</v>
      </c>
      <c r="L32" s="30"/>
      <c r="M32" s="30"/>
    </row>
    <row r="33" spans="1:13" s="41" customFormat="1" ht="42">
      <c r="A33" s="26">
        <v>5029905001</v>
      </c>
      <c r="B33" s="26" t="s">
        <v>136</v>
      </c>
      <c r="C33" s="26" t="s">
        <v>233</v>
      </c>
      <c r="D33" s="26" t="s">
        <v>107</v>
      </c>
      <c r="E33" s="26" t="s">
        <v>146</v>
      </c>
      <c r="F33" s="27" t="s">
        <v>104</v>
      </c>
      <c r="G33" s="33" t="s">
        <v>104</v>
      </c>
      <c r="H33" s="33" t="s">
        <v>104</v>
      </c>
      <c r="I33" s="27" t="s">
        <v>84</v>
      </c>
      <c r="J33" s="29">
        <v>4290000</v>
      </c>
      <c r="K33" s="29">
        <f t="shared" si="1"/>
        <v>4290000</v>
      </c>
      <c r="L33" s="30"/>
      <c r="M33" s="30" t="s">
        <v>253</v>
      </c>
    </row>
    <row r="34" spans="1:13" s="41" customFormat="1" ht="28">
      <c r="A34" s="26">
        <v>5029905001</v>
      </c>
      <c r="B34" s="25" t="s">
        <v>135</v>
      </c>
      <c r="C34" s="26" t="s">
        <v>105</v>
      </c>
      <c r="D34" s="26" t="s">
        <v>107</v>
      </c>
      <c r="E34" s="26" t="s">
        <v>122</v>
      </c>
      <c r="F34" s="27" t="s">
        <v>104</v>
      </c>
      <c r="G34" s="33" t="s">
        <v>104</v>
      </c>
      <c r="H34" s="33" t="s">
        <v>104</v>
      </c>
      <c r="I34" s="27" t="s">
        <v>84</v>
      </c>
      <c r="J34" s="29">
        <v>480000</v>
      </c>
      <c r="K34" s="29">
        <f t="shared" si="1"/>
        <v>480000</v>
      </c>
      <c r="L34" s="30"/>
      <c r="M34" s="30"/>
    </row>
    <row r="35" spans="1:13" s="41" customFormat="1" ht="42">
      <c r="A35" s="26">
        <v>5029905001</v>
      </c>
      <c r="B35" s="26" t="s">
        <v>135</v>
      </c>
      <c r="C35" s="26" t="s">
        <v>198</v>
      </c>
      <c r="D35" s="26" t="s">
        <v>107</v>
      </c>
      <c r="E35" s="26" t="s">
        <v>146</v>
      </c>
      <c r="F35" s="27" t="s">
        <v>104</v>
      </c>
      <c r="G35" s="33" t="s">
        <v>104</v>
      </c>
      <c r="H35" s="33" t="s">
        <v>104</v>
      </c>
      <c r="I35" s="27" t="s">
        <v>84</v>
      </c>
      <c r="J35" s="29">
        <v>1680000</v>
      </c>
      <c r="K35" s="29">
        <f t="shared" si="1"/>
        <v>1680000</v>
      </c>
      <c r="L35" s="30"/>
      <c r="M35" s="30"/>
    </row>
    <row r="36" spans="1:13" s="41" customFormat="1" ht="42">
      <c r="A36" s="26">
        <v>5029905001</v>
      </c>
      <c r="B36" s="26" t="s">
        <v>135</v>
      </c>
      <c r="C36" s="26" t="s">
        <v>173</v>
      </c>
      <c r="D36" s="26" t="s">
        <v>107</v>
      </c>
      <c r="E36" s="26" t="s">
        <v>146</v>
      </c>
      <c r="F36" s="27" t="s">
        <v>104</v>
      </c>
      <c r="G36" s="33" t="s">
        <v>104</v>
      </c>
      <c r="H36" s="33" t="s">
        <v>104</v>
      </c>
      <c r="I36" s="27" t="s">
        <v>84</v>
      </c>
      <c r="J36" s="29">
        <v>240000</v>
      </c>
      <c r="K36" s="29">
        <f t="shared" si="1"/>
        <v>240000</v>
      </c>
      <c r="L36" s="30"/>
      <c r="M36" s="30"/>
    </row>
    <row r="37" spans="1:13" s="41" customFormat="1" ht="42">
      <c r="A37" s="26">
        <v>5029905001</v>
      </c>
      <c r="B37" s="26" t="s">
        <v>311</v>
      </c>
      <c r="C37" s="26" t="s">
        <v>105</v>
      </c>
      <c r="D37" s="26" t="s">
        <v>107</v>
      </c>
      <c r="E37" s="79" t="s">
        <v>310</v>
      </c>
      <c r="F37" s="27" t="s">
        <v>104</v>
      </c>
      <c r="G37" s="33" t="s">
        <v>104</v>
      </c>
      <c r="H37" s="33" t="s">
        <v>104</v>
      </c>
      <c r="I37" s="27" t="s">
        <v>84</v>
      </c>
      <c r="J37" s="29">
        <v>540000</v>
      </c>
      <c r="K37" s="29">
        <f t="shared" si="1"/>
        <v>540000</v>
      </c>
      <c r="L37" s="30"/>
      <c r="M37" s="30" t="s">
        <v>309</v>
      </c>
    </row>
    <row r="38" spans="1:13" s="41" customFormat="1" ht="42">
      <c r="A38" s="26">
        <v>5029905001</v>
      </c>
      <c r="B38" s="26" t="s">
        <v>347</v>
      </c>
      <c r="C38" s="26" t="s">
        <v>343</v>
      </c>
      <c r="D38" s="26" t="s">
        <v>107</v>
      </c>
      <c r="E38" s="79" t="s">
        <v>354</v>
      </c>
      <c r="F38" s="27" t="s">
        <v>104</v>
      </c>
      <c r="G38" s="33" t="s">
        <v>104</v>
      </c>
      <c r="H38" s="33" t="s">
        <v>104</v>
      </c>
      <c r="I38" s="27" t="s">
        <v>84</v>
      </c>
      <c r="J38" s="29">
        <f>SUM(544320+108000+316800)</f>
        <v>969120</v>
      </c>
      <c r="K38" s="29">
        <f>J38</f>
        <v>969120</v>
      </c>
      <c r="L38" s="30"/>
      <c r="M38" s="30" t="s">
        <v>353</v>
      </c>
    </row>
    <row r="39" spans="1:13" s="41" customFormat="1" ht="28">
      <c r="A39" s="26">
        <v>5029904000</v>
      </c>
      <c r="B39" s="25" t="s">
        <v>108</v>
      </c>
      <c r="C39" s="26" t="s">
        <v>140</v>
      </c>
      <c r="D39" s="27" t="s">
        <v>43</v>
      </c>
      <c r="E39" s="26" t="s">
        <v>122</v>
      </c>
      <c r="F39" s="27" t="s">
        <v>104</v>
      </c>
      <c r="G39" s="33" t="s">
        <v>104</v>
      </c>
      <c r="H39" s="33" t="s">
        <v>104</v>
      </c>
      <c r="I39" s="27" t="s">
        <v>84</v>
      </c>
      <c r="J39" s="29">
        <v>500000</v>
      </c>
      <c r="K39" s="29">
        <f t="shared" si="1"/>
        <v>500000</v>
      </c>
      <c r="L39" s="30"/>
      <c r="M39" s="30" t="s">
        <v>161</v>
      </c>
    </row>
    <row r="40" spans="1:13" s="41" customFormat="1" ht="42">
      <c r="A40" s="26">
        <v>5029904000</v>
      </c>
      <c r="B40" s="26" t="s">
        <v>108</v>
      </c>
      <c r="C40" s="26" t="s">
        <v>343</v>
      </c>
      <c r="D40" s="27" t="s">
        <v>43</v>
      </c>
      <c r="E40" s="79" t="s">
        <v>354</v>
      </c>
      <c r="F40" s="27" t="s">
        <v>104</v>
      </c>
      <c r="G40" s="33" t="s">
        <v>104</v>
      </c>
      <c r="H40" s="33" t="s">
        <v>104</v>
      </c>
      <c r="I40" s="27" t="s">
        <v>84</v>
      </c>
      <c r="J40" s="29">
        <f>SUM(174000+192000)</f>
        <v>366000</v>
      </c>
      <c r="K40" s="29">
        <f t="shared" si="1"/>
        <v>366000</v>
      </c>
      <c r="L40" s="30"/>
      <c r="M40" s="30" t="s">
        <v>348</v>
      </c>
    </row>
    <row r="41" spans="1:13" s="41" customFormat="1" ht="42">
      <c r="A41" s="26">
        <v>5020402000</v>
      </c>
      <c r="B41" s="25" t="s">
        <v>174</v>
      </c>
      <c r="C41" s="26" t="s">
        <v>173</v>
      </c>
      <c r="D41" s="27" t="s">
        <v>32</v>
      </c>
      <c r="E41" s="26" t="s">
        <v>146</v>
      </c>
      <c r="F41" s="27" t="s">
        <v>104</v>
      </c>
      <c r="G41" s="33" t="s">
        <v>104</v>
      </c>
      <c r="H41" s="33" t="s">
        <v>104</v>
      </c>
      <c r="I41" s="27" t="s">
        <v>84</v>
      </c>
      <c r="J41" s="29">
        <f>50000+40000+40000+50000</f>
        <v>180000</v>
      </c>
      <c r="K41" s="29">
        <f t="shared" si="1"/>
        <v>180000</v>
      </c>
      <c r="L41" s="30"/>
      <c r="M41" s="30" t="s">
        <v>182</v>
      </c>
    </row>
    <row r="42" spans="1:13" s="41" customFormat="1" ht="42">
      <c r="A42" s="26">
        <v>5020402000</v>
      </c>
      <c r="B42" s="26" t="s">
        <v>174</v>
      </c>
      <c r="C42" s="26" t="s">
        <v>177</v>
      </c>
      <c r="D42" s="27" t="s">
        <v>32</v>
      </c>
      <c r="E42" s="26" t="s">
        <v>146</v>
      </c>
      <c r="F42" s="27" t="s">
        <v>104</v>
      </c>
      <c r="G42" s="33" t="s">
        <v>104</v>
      </c>
      <c r="H42" s="33" t="s">
        <v>104</v>
      </c>
      <c r="I42" s="27" t="s">
        <v>84</v>
      </c>
      <c r="J42" s="29">
        <v>9714096</v>
      </c>
      <c r="K42" s="29">
        <f t="shared" si="1"/>
        <v>9714096</v>
      </c>
      <c r="L42" s="30"/>
      <c r="M42" s="30" t="s">
        <v>182</v>
      </c>
    </row>
    <row r="43" spans="1:13" s="41" customFormat="1" ht="42">
      <c r="A43" s="26">
        <v>5020402000</v>
      </c>
      <c r="B43" s="26" t="s">
        <v>174</v>
      </c>
      <c r="C43" s="26" t="s">
        <v>211</v>
      </c>
      <c r="D43" s="27" t="s">
        <v>32</v>
      </c>
      <c r="E43" s="26" t="s">
        <v>146</v>
      </c>
      <c r="F43" s="27" t="s">
        <v>104</v>
      </c>
      <c r="G43" s="33" t="s">
        <v>104</v>
      </c>
      <c r="H43" s="33" t="s">
        <v>104</v>
      </c>
      <c r="I43" s="27" t="s">
        <v>84</v>
      </c>
      <c r="J43" s="29">
        <v>40000</v>
      </c>
      <c r="K43" s="29">
        <f t="shared" si="1"/>
        <v>40000</v>
      </c>
      <c r="L43" s="30"/>
      <c r="M43" s="30"/>
    </row>
    <row r="44" spans="1:13" s="41" customFormat="1" ht="42">
      <c r="A44" s="26">
        <v>5020402000</v>
      </c>
      <c r="B44" s="26" t="s">
        <v>174</v>
      </c>
      <c r="C44" s="26" t="s">
        <v>225</v>
      </c>
      <c r="D44" s="27" t="s">
        <v>32</v>
      </c>
      <c r="E44" s="26" t="s">
        <v>146</v>
      </c>
      <c r="F44" s="27" t="s">
        <v>104</v>
      </c>
      <c r="G44" s="33" t="s">
        <v>104</v>
      </c>
      <c r="H44" s="33" t="s">
        <v>104</v>
      </c>
      <c r="I44" s="27" t="s">
        <v>84</v>
      </c>
      <c r="J44" s="29">
        <v>840000</v>
      </c>
      <c r="K44" s="29">
        <f t="shared" si="1"/>
        <v>840000</v>
      </c>
      <c r="L44" s="30"/>
      <c r="M44" s="30" t="s">
        <v>230</v>
      </c>
    </row>
    <row r="45" spans="1:13" s="41" customFormat="1" ht="42">
      <c r="A45" s="26">
        <v>5020402000</v>
      </c>
      <c r="B45" s="26" t="s">
        <v>174</v>
      </c>
      <c r="C45" s="26" t="s">
        <v>233</v>
      </c>
      <c r="D45" s="27" t="s">
        <v>32</v>
      </c>
      <c r="E45" s="26" t="s">
        <v>146</v>
      </c>
      <c r="F45" s="27" t="s">
        <v>104</v>
      </c>
      <c r="G45" s="33" t="s">
        <v>104</v>
      </c>
      <c r="H45" s="33" t="s">
        <v>104</v>
      </c>
      <c r="I45" s="27" t="s">
        <v>84</v>
      </c>
      <c r="J45" s="29">
        <v>2100000</v>
      </c>
      <c r="K45" s="29">
        <f t="shared" si="1"/>
        <v>2100000</v>
      </c>
      <c r="L45" s="30"/>
      <c r="M45" s="30" t="s">
        <v>254</v>
      </c>
    </row>
    <row r="46" spans="1:13" s="41" customFormat="1" ht="28">
      <c r="A46" s="26">
        <v>5021501001</v>
      </c>
      <c r="B46" s="25" t="s">
        <v>183</v>
      </c>
      <c r="C46" s="26" t="s">
        <v>177</v>
      </c>
      <c r="D46" s="27" t="s">
        <v>32</v>
      </c>
      <c r="E46" s="26" t="s">
        <v>122</v>
      </c>
      <c r="F46" s="27" t="s">
        <v>104</v>
      </c>
      <c r="G46" s="33" t="s">
        <v>104</v>
      </c>
      <c r="H46" s="33" t="s">
        <v>104</v>
      </c>
      <c r="I46" s="27" t="s">
        <v>84</v>
      </c>
      <c r="J46" s="29">
        <v>493682.89</v>
      </c>
      <c r="K46" s="29">
        <f t="shared" si="1"/>
        <v>493682.89</v>
      </c>
      <c r="L46" s="30"/>
      <c r="M46" s="30"/>
    </row>
    <row r="47" spans="1:13" s="41" customFormat="1" ht="28">
      <c r="A47" s="26">
        <v>5020399000</v>
      </c>
      <c r="B47" s="25" t="s">
        <v>305</v>
      </c>
      <c r="C47" s="26" t="s">
        <v>212</v>
      </c>
      <c r="D47" s="27" t="s">
        <v>32</v>
      </c>
      <c r="E47" s="26" t="s">
        <v>145</v>
      </c>
      <c r="F47" s="27" t="s">
        <v>104</v>
      </c>
      <c r="G47" s="33" t="s">
        <v>104</v>
      </c>
      <c r="H47" s="33" t="s">
        <v>104</v>
      </c>
      <c r="I47" s="27" t="s">
        <v>84</v>
      </c>
      <c r="J47" s="29">
        <v>390000</v>
      </c>
      <c r="K47" s="29">
        <f t="shared" si="1"/>
        <v>390000</v>
      </c>
      <c r="L47" s="30"/>
      <c r="M47" s="26" t="s">
        <v>214</v>
      </c>
    </row>
    <row r="48" spans="1:13" s="41" customFormat="1" ht="28">
      <c r="A48" s="26">
        <v>5020399000</v>
      </c>
      <c r="B48" s="36" t="s">
        <v>305</v>
      </c>
      <c r="C48" s="26" t="s">
        <v>105</v>
      </c>
      <c r="D48" s="26" t="s">
        <v>32</v>
      </c>
      <c r="E48" s="26" t="s">
        <v>122</v>
      </c>
      <c r="F48" s="27" t="s">
        <v>104</v>
      </c>
      <c r="G48" s="33" t="s">
        <v>104</v>
      </c>
      <c r="H48" s="33" t="s">
        <v>104</v>
      </c>
      <c r="I48" s="27" t="s">
        <v>84</v>
      </c>
      <c r="J48" s="29">
        <f>198000+92400+69130+37527+12048+279500+20434+20182</f>
        <v>729221</v>
      </c>
      <c r="K48" s="29">
        <f t="shared" si="1"/>
        <v>729221</v>
      </c>
      <c r="L48" s="30"/>
      <c r="M48" s="36" t="s">
        <v>137</v>
      </c>
    </row>
    <row r="49" spans="1:32" s="41" customFormat="1" ht="28">
      <c r="A49" s="26">
        <v>5020301002</v>
      </c>
      <c r="B49" s="25" t="s">
        <v>304</v>
      </c>
      <c r="C49" s="26" t="s">
        <v>220</v>
      </c>
      <c r="D49" s="27" t="s">
        <v>34</v>
      </c>
      <c r="E49" s="26" t="s">
        <v>122</v>
      </c>
      <c r="F49" s="27" t="s">
        <v>104</v>
      </c>
      <c r="G49" s="33" t="s">
        <v>104</v>
      </c>
      <c r="H49" s="33" t="s">
        <v>104</v>
      </c>
      <c r="I49" s="27" t="s">
        <v>84</v>
      </c>
      <c r="J49" s="29">
        <f>149940.89</f>
        <v>149940.89000000001</v>
      </c>
      <c r="K49" s="29">
        <f t="shared" si="1"/>
        <v>149940.89000000001</v>
      </c>
      <c r="L49" s="30"/>
      <c r="M49" s="30"/>
    </row>
    <row r="50" spans="1:32" s="39" customFormat="1" ht="28">
      <c r="A50" s="26">
        <v>5020301002</v>
      </c>
      <c r="B50" s="26" t="s">
        <v>262</v>
      </c>
      <c r="C50" s="26" t="s">
        <v>105</v>
      </c>
      <c r="D50" s="27" t="s">
        <v>30</v>
      </c>
      <c r="E50" s="28" t="s">
        <v>122</v>
      </c>
      <c r="F50" s="28" t="s">
        <v>122</v>
      </c>
      <c r="G50" s="28" t="s">
        <v>122</v>
      </c>
      <c r="H50" s="28" t="s">
        <v>122</v>
      </c>
      <c r="I50" s="27" t="s">
        <v>84</v>
      </c>
      <c r="J50" s="29">
        <v>1890143.63</v>
      </c>
      <c r="K50" s="29">
        <f t="shared" si="1"/>
        <v>1890143.63</v>
      </c>
      <c r="L50" s="30"/>
      <c r="M50" s="30" t="s">
        <v>258</v>
      </c>
      <c r="AC50" s="40"/>
      <c r="AD50" s="40"/>
      <c r="AE50" s="40"/>
      <c r="AF50" s="40"/>
    </row>
    <row r="51" spans="1:32" s="39" customFormat="1" ht="28">
      <c r="A51" s="26">
        <v>5020301002</v>
      </c>
      <c r="B51" s="26" t="s">
        <v>262</v>
      </c>
      <c r="C51" s="26" t="s">
        <v>105</v>
      </c>
      <c r="D51" s="27" t="s">
        <v>34</v>
      </c>
      <c r="E51" s="78" t="s">
        <v>318</v>
      </c>
      <c r="F51" s="28" t="s">
        <v>104</v>
      </c>
      <c r="G51" s="28" t="s">
        <v>104</v>
      </c>
      <c r="H51" s="28" t="s">
        <v>104</v>
      </c>
      <c r="I51" s="27" t="s">
        <v>84</v>
      </c>
      <c r="J51" s="29">
        <v>48750</v>
      </c>
      <c r="K51" s="29">
        <f t="shared" si="1"/>
        <v>48750</v>
      </c>
      <c r="L51" s="30"/>
      <c r="M51" s="30" t="s">
        <v>319</v>
      </c>
      <c r="AC51" s="40"/>
      <c r="AD51" s="40"/>
      <c r="AE51" s="40"/>
      <c r="AF51" s="40"/>
    </row>
    <row r="52" spans="1:32" s="39" customFormat="1" ht="28">
      <c r="A52" s="26">
        <v>5020301003</v>
      </c>
      <c r="B52" s="26" t="s">
        <v>262</v>
      </c>
      <c r="C52" s="26" t="s">
        <v>105</v>
      </c>
      <c r="D52" s="27" t="s">
        <v>34</v>
      </c>
      <c r="E52" s="78" t="s">
        <v>320</v>
      </c>
      <c r="F52" s="28" t="s">
        <v>104</v>
      </c>
      <c r="G52" s="28" t="s">
        <v>104</v>
      </c>
      <c r="H52" s="28" t="s">
        <v>104</v>
      </c>
      <c r="I52" s="27" t="s">
        <v>84</v>
      </c>
      <c r="J52" s="29">
        <v>557970</v>
      </c>
      <c r="K52" s="29">
        <f t="shared" si="1"/>
        <v>557970</v>
      </c>
      <c r="L52" s="30"/>
      <c r="M52" s="30" t="s">
        <v>321</v>
      </c>
      <c r="AC52" s="40"/>
      <c r="AD52" s="40"/>
      <c r="AE52" s="40"/>
      <c r="AF52" s="40"/>
    </row>
    <row r="53" spans="1:32" s="41" customFormat="1" ht="28">
      <c r="A53" s="26">
        <v>5020301002</v>
      </c>
      <c r="B53" s="26" t="s">
        <v>262</v>
      </c>
      <c r="C53" s="26" t="s">
        <v>105</v>
      </c>
      <c r="D53" s="27" t="s">
        <v>34</v>
      </c>
      <c r="E53" s="26" t="s">
        <v>138</v>
      </c>
      <c r="F53" s="27" t="s">
        <v>104</v>
      </c>
      <c r="G53" s="33" t="s">
        <v>104</v>
      </c>
      <c r="H53" s="33" t="s">
        <v>104</v>
      </c>
      <c r="I53" s="27" t="s">
        <v>84</v>
      </c>
      <c r="J53" s="29">
        <v>23080</v>
      </c>
      <c r="K53" s="29">
        <f t="shared" si="1"/>
        <v>23080</v>
      </c>
      <c r="L53" s="30"/>
      <c r="M53" s="30" t="s">
        <v>315</v>
      </c>
    </row>
    <row r="54" spans="1:32" s="41" customFormat="1" ht="42">
      <c r="A54" s="26">
        <v>5020301002</v>
      </c>
      <c r="B54" s="26" t="s">
        <v>262</v>
      </c>
      <c r="C54" s="26" t="s">
        <v>105</v>
      </c>
      <c r="D54" s="27" t="s">
        <v>34</v>
      </c>
      <c r="E54" s="26" t="s">
        <v>314</v>
      </c>
      <c r="F54" s="27" t="s">
        <v>104</v>
      </c>
      <c r="G54" s="33" t="s">
        <v>104</v>
      </c>
      <c r="H54" s="33" t="s">
        <v>104</v>
      </c>
      <c r="I54" s="27" t="s">
        <v>84</v>
      </c>
      <c r="J54" s="29">
        <f>55000</f>
        <v>55000</v>
      </c>
      <c r="K54" s="29">
        <f t="shared" si="1"/>
        <v>55000</v>
      </c>
      <c r="L54" s="30"/>
      <c r="M54" s="30"/>
    </row>
    <row r="55" spans="1:32" s="41" customFormat="1" ht="28">
      <c r="A55" s="26">
        <v>5020301003</v>
      </c>
      <c r="B55" s="26" t="s">
        <v>262</v>
      </c>
      <c r="C55" s="26" t="s">
        <v>105</v>
      </c>
      <c r="D55" s="27" t="s">
        <v>34</v>
      </c>
      <c r="E55" s="79" t="s">
        <v>318</v>
      </c>
      <c r="F55" s="27" t="s">
        <v>104</v>
      </c>
      <c r="G55" s="33" t="s">
        <v>104</v>
      </c>
      <c r="H55" s="33" t="s">
        <v>104</v>
      </c>
      <c r="I55" s="27" t="s">
        <v>84</v>
      </c>
      <c r="J55" s="29">
        <v>356400</v>
      </c>
      <c r="K55" s="29">
        <f t="shared" si="1"/>
        <v>356400</v>
      </c>
      <c r="L55" s="30"/>
      <c r="M55" s="30" t="s">
        <v>323</v>
      </c>
    </row>
    <row r="56" spans="1:32" s="41" customFormat="1" ht="28">
      <c r="A56" s="26">
        <v>5020301002</v>
      </c>
      <c r="B56" s="26" t="s">
        <v>262</v>
      </c>
      <c r="C56" s="26" t="s">
        <v>233</v>
      </c>
      <c r="D56" s="27" t="s">
        <v>43</v>
      </c>
      <c r="E56" s="79" t="s">
        <v>303</v>
      </c>
      <c r="F56" s="27" t="s">
        <v>104</v>
      </c>
      <c r="G56" s="33" t="s">
        <v>104</v>
      </c>
      <c r="H56" s="33" t="s">
        <v>104</v>
      </c>
      <c r="I56" s="27" t="s">
        <v>84</v>
      </c>
      <c r="J56" s="29">
        <v>297000</v>
      </c>
      <c r="K56" s="29">
        <f t="shared" si="1"/>
        <v>297000</v>
      </c>
      <c r="L56" s="30"/>
      <c r="M56" s="30" t="s">
        <v>342</v>
      </c>
    </row>
    <row r="57" spans="1:32" s="41" customFormat="1" ht="28">
      <c r="A57" s="26">
        <v>5020301002</v>
      </c>
      <c r="B57" s="26" t="s">
        <v>262</v>
      </c>
      <c r="C57" s="26" t="s">
        <v>235</v>
      </c>
      <c r="D57" s="27" t="s">
        <v>34</v>
      </c>
      <c r="E57" s="26" t="s">
        <v>122</v>
      </c>
      <c r="F57" s="27" t="s">
        <v>104</v>
      </c>
      <c r="G57" s="33" t="s">
        <v>104</v>
      </c>
      <c r="H57" s="33" t="s">
        <v>104</v>
      </c>
      <c r="I57" s="27" t="s">
        <v>84</v>
      </c>
      <c r="J57" s="29">
        <v>1158782</v>
      </c>
      <c r="K57" s="29">
        <f t="shared" si="1"/>
        <v>1158782</v>
      </c>
      <c r="L57" s="30"/>
      <c r="M57" s="30" t="s">
        <v>263</v>
      </c>
    </row>
    <row r="58" spans="1:32" s="41" customFormat="1" ht="28">
      <c r="A58" s="26">
        <v>5020301002</v>
      </c>
      <c r="B58" s="26" t="s">
        <v>262</v>
      </c>
      <c r="C58" s="26" t="s">
        <v>208</v>
      </c>
      <c r="D58" s="27" t="s">
        <v>34</v>
      </c>
      <c r="E58" s="26" t="s">
        <v>122</v>
      </c>
      <c r="F58" s="27" t="s">
        <v>104</v>
      </c>
      <c r="G58" s="33" t="s">
        <v>104</v>
      </c>
      <c r="H58" s="33" t="s">
        <v>104</v>
      </c>
      <c r="I58" s="27" t="s">
        <v>84</v>
      </c>
      <c r="J58" s="29">
        <v>47550</v>
      </c>
      <c r="K58" s="29">
        <f t="shared" si="1"/>
        <v>47550</v>
      </c>
      <c r="L58" s="30"/>
      <c r="M58" s="30"/>
    </row>
    <row r="59" spans="1:32" s="41" customFormat="1" ht="28">
      <c r="A59" s="26">
        <v>5020301002</v>
      </c>
      <c r="B59" s="26" t="s">
        <v>262</v>
      </c>
      <c r="C59" s="26" t="s">
        <v>264</v>
      </c>
      <c r="D59" s="27" t="s">
        <v>34</v>
      </c>
      <c r="E59" s="26" t="s">
        <v>122</v>
      </c>
      <c r="F59" s="27" t="s">
        <v>104</v>
      </c>
      <c r="G59" s="33" t="s">
        <v>104</v>
      </c>
      <c r="H59" s="33" t="s">
        <v>104</v>
      </c>
      <c r="I59" s="27" t="s">
        <v>84</v>
      </c>
      <c r="J59" s="29">
        <v>17750</v>
      </c>
      <c r="K59" s="29">
        <f t="shared" si="1"/>
        <v>17750</v>
      </c>
      <c r="L59" s="30"/>
      <c r="M59" s="30"/>
    </row>
    <row r="60" spans="1:32" s="41" customFormat="1" ht="28">
      <c r="A60" s="26">
        <v>5020301002</v>
      </c>
      <c r="B60" s="26" t="s">
        <v>262</v>
      </c>
      <c r="C60" s="26" t="s">
        <v>211</v>
      </c>
      <c r="D60" s="27" t="s">
        <v>34</v>
      </c>
      <c r="E60" s="26" t="s">
        <v>145</v>
      </c>
      <c r="F60" s="27" t="s">
        <v>104</v>
      </c>
      <c r="G60" s="33" t="s">
        <v>104</v>
      </c>
      <c r="H60" s="33" t="s">
        <v>104</v>
      </c>
      <c r="I60" s="27" t="s">
        <v>84</v>
      </c>
      <c r="J60" s="29">
        <v>719995</v>
      </c>
      <c r="K60" s="29">
        <f t="shared" si="1"/>
        <v>719995</v>
      </c>
      <c r="L60" s="30"/>
      <c r="M60" s="30"/>
    </row>
    <row r="61" spans="1:32" s="41" customFormat="1" ht="28">
      <c r="A61" s="26">
        <v>5020301002</v>
      </c>
      <c r="B61" s="26" t="s">
        <v>262</v>
      </c>
      <c r="C61" s="26" t="s">
        <v>109</v>
      </c>
      <c r="D61" s="27" t="s">
        <v>34</v>
      </c>
      <c r="E61" s="26" t="s">
        <v>116</v>
      </c>
      <c r="F61" s="27" t="s">
        <v>104</v>
      </c>
      <c r="G61" s="33" t="s">
        <v>104</v>
      </c>
      <c r="H61" s="33" t="s">
        <v>104</v>
      </c>
      <c r="I61" s="27" t="s">
        <v>84</v>
      </c>
      <c r="J61" s="29">
        <v>252903</v>
      </c>
      <c r="K61" s="29">
        <f t="shared" si="1"/>
        <v>252903</v>
      </c>
      <c r="L61" s="30"/>
      <c r="M61" s="30"/>
    </row>
    <row r="62" spans="1:32" s="41" customFormat="1" ht="42">
      <c r="A62" s="26">
        <v>5020301002</v>
      </c>
      <c r="B62" s="26" t="s">
        <v>262</v>
      </c>
      <c r="C62" s="26" t="s">
        <v>234</v>
      </c>
      <c r="D62" s="27" t="s">
        <v>34</v>
      </c>
      <c r="E62" s="26" t="s">
        <v>133</v>
      </c>
      <c r="F62" s="27" t="s">
        <v>104</v>
      </c>
      <c r="G62" s="33" t="s">
        <v>104</v>
      </c>
      <c r="H62" s="33" t="s">
        <v>104</v>
      </c>
      <c r="I62" s="27" t="s">
        <v>84</v>
      </c>
      <c r="J62" s="29">
        <v>191415</v>
      </c>
      <c r="K62" s="29">
        <f t="shared" si="1"/>
        <v>191415</v>
      </c>
      <c r="L62" s="30"/>
      <c r="M62" s="30"/>
    </row>
    <row r="63" spans="1:32" s="41" customFormat="1" ht="28">
      <c r="A63" s="26">
        <v>5020301002</v>
      </c>
      <c r="B63" s="26" t="s">
        <v>262</v>
      </c>
      <c r="C63" s="26" t="s">
        <v>111</v>
      </c>
      <c r="D63" s="27" t="s">
        <v>34</v>
      </c>
      <c r="E63" s="26" t="s">
        <v>122</v>
      </c>
      <c r="F63" s="27" t="s">
        <v>104</v>
      </c>
      <c r="G63" s="33" t="s">
        <v>104</v>
      </c>
      <c r="H63" s="33" t="s">
        <v>104</v>
      </c>
      <c r="I63" s="27" t="s">
        <v>84</v>
      </c>
      <c r="J63" s="29">
        <v>149564.5</v>
      </c>
      <c r="K63" s="29">
        <f>J63</f>
        <v>149564.5</v>
      </c>
      <c r="L63" s="30"/>
      <c r="M63" s="30"/>
    </row>
    <row r="64" spans="1:32" s="41" customFormat="1" ht="28">
      <c r="A64" s="26">
        <v>5020301002</v>
      </c>
      <c r="B64" s="26" t="s">
        <v>262</v>
      </c>
      <c r="C64" s="26" t="s">
        <v>140</v>
      </c>
      <c r="D64" s="27" t="s">
        <v>34</v>
      </c>
      <c r="E64" s="26" t="s">
        <v>122</v>
      </c>
      <c r="F64" s="27" t="s">
        <v>104</v>
      </c>
      <c r="G64" s="33" t="s">
        <v>104</v>
      </c>
      <c r="H64" s="33" t="s">
        <v>104</v>
      </c>
      <c r="I64" s="27" t="s">
        <v>84</v>
      </c>
      <c r="J64" s="29">
        <v>55000</v>
      </c>
      <c r="K64" s="29">
        <v>55000</v>
      </c>
      <c r="L64" s="30"/>
      <c r="M64" s="30"/>
    </row>
    <row r="65" spans="1:13" s="41" customFormat="1" ht="28">
      <c r="A65" s="26">
        <v>5020301002</v>
      </c>
      <c r="B65" s="26" t="s">
        <v>262</v>
      </c>
      <c r="C65" s="26" t="s">
        <v>144</v>
      </c>
      <c r="D65" s="27" t="s">
        <v>34</v>
      </c>
      <c r="E65" s="26" t="s">
        <v>122</v>
      </c>
      <c r="F65" s="27" t="s">
        <v>145</v>
      </c>
      <c r="G65" s="33" t="s">
        <v>104</v>
      </c>
      <c r="H65" s="33" t="s">
        <v>104</v>
      </c>
      <c r="I65" s="27" t="s">
        <v>84</v>
      </c>
      <c r="J65" s="29">
        <v>32478.880000000001</v>
      </c>
      <c r="K65" s="29">
        <v>32478.880000000001</v>
      </c>
      <c r="L65" s="30"/>
      <c r="M65" s="30" t="s">
        <v>268</v>
      </c>
    </row>
    <row r="66" spans="1:13" s="41" customFormat="1" ht="42">
      <c r="A66" s="26">
        <v>5020301002</v>
      </c>
      <c r="B66" s="26" t="s">
        <v>262</v>
      </c>
      <c r="C66" s="26" t="s">
        <v>148</v>
      </c>
      <c r="D66" s="27" t="s">
        <v>34</v>
      </c>
      <c r="E66" s="26" t="s">
        <v>269</v>
      </c>
      <c r="F66" s="33" t="s">
        <v>104</v>
      </c>
      <c r="G66" s="33" t="s">
        <v>104</v>
      </c>
      <c r="H66" s="33" t="s">
        <v>104</v>
      </c>
      <c r="I66" s="27" t="s">
        <v>84</v>
      </c>
      <c r="J66" s="29">
        <v>1870000</v>
      </c>
      <c r="K66" s="29">
        <v>1870000</v>
      </c>
      <c r="L66" s="30"/>
      <c r="M66" s="30" t="s">
        <v>271</v>
      </c>
    </row>
    <row r="67" spans="1:13" s="41" customFormat="1" ht="42">
      <c r="A67" s="26">
        <v>5020301002</v>
      </c>
      <c r="B67" s="26" t="s">
        <v>262</v>
      </c>
      <c r="C67" s="26" t="s">
        <v>151</v>
      </c>
      <c r="D67" s="27" t="s">
        <v>34</v>
      </c>
      <c r="E67" s="26" t="s">
        <v>269</v>
      </c>
      <c r="F67" s="33" t="s">
        <v>104</v>
      </c>
      <c r="G67" s="33" t="s">
        <v>104</v>
      </c>
      <c r="H67" s="33" t="s">
        <v>104</v>
      </c>
      <c r="I67" s="27" t="s">
        <v>84</v>
      </c>
      <c r="J67" s="29">
        <v>1618250</v>
      </c>
      <c r="K67" s="29">
        <f t="shared" ref="K67:K78" si="2">J67</f>
        <v>1618250</v>
      </c>
      <c r="L67" s="30"/>
      <c r="M67" s="30" t="s">
        <v>274</v>
      </c>
    </row>
    <row r="68" spans="1:13" s="41" customFormat="1" ht="28">
      <c r="A68" s="26">
        <v>5020301002</v>
      </c>
      <c r="B68" s="26" t="s">
        <v>262</v>
      </c>
      <c r="C68" s="26" t="s">
        <v>169</v>
      </c>
      <c r="D68" s="27" t="s">
        <v>34</v>
      </c>
      <c r="E68" s="26" t="s">
        <v>138</v>
      </c>
      <c r="F68" s="33" t="s">
        <v>104</v>
      </c>
      <c r="G68" s="33" t="s">
        <v>104</v>
      </c>
      <c r="H68" s="33" t="s">
        <v>104</v>
      </c>
      <c r="I68" s="27" t="s">
        <v>84</v>
      </c>
      <c r="J68" s="29">
        <v>193340.79999999999</v>
      </c>
      <c r="K68" s="29">
        <f t="shared" si="2"/>
        <v>193340.79999999999</v>
      </c>
      <c r="L68" s="30"/>
      <c r="M68" s="30" t="s">
        <v>276</v>
      </c>
    </row>
    <row r="69" spans="1:13" s="41" customFormat="1" ht="28">
      <c r="A69" s="26">
        <v>5020301002</v>
      </c>
      <c r="B69" s="26" t="s">
        <v>262</v>
      </c>
      <c r="C69" s="26" t="s">
        <v>171</v>
      </c>
      <c r="D69" s="27" t="s">
        <v>34</v>
      </c>
      <c r="E69" s="26" t="s">
        <v>122</v>
      </c>
      <c r="F69" s="33" t="s">
        <v>104</v>
      </c>
      <c r="G69" s="33" t="s">
        <v>104</v>
      </c>
      <c r="H69" s="33" t="s">
        <v>104</v>
      </c>
      <c r="I69" s="27" t="s">
        <v>84</v>
      </c>
      <c r="J69" s="29">
        <f>4600+114925+510600+36600</f>
        <v>666725</v>
      </c>
      <c r="K69" s="29">
        <f t="shared" si="2"/>
        <v>666725</v>
      </c>
      <c r="L69" s="30"/>
      <c r="M69" s="30"/>
    </row>
    <row r="70" spans="1:13" s="41" customFormat="1" ht="28">
      <c r="A70" s="26">
        <v>5020301002</v>
      </c>
      <c r="B70" s="26" t="s">
        <v>262</v>
      </c>
      <c r="C70" s="26" t="s">
        <v>175</v>
      </c>
      <c r="D70" s="27" t="s">
        <v>34</v>
      </c>
      <c r="E70" s="26" t="s">
        <v>116</v>
      </c>
      <c r="F70" s="33" t="s">
        <v>104</v>
      </c>
      <c r="G70" s="33" t="s">
        <v>104</v>
      </c>
      <c r="H70" s="33" t="s">
        <v>104</v>
      </c>
      <c r="I70" s="27" t="s">
        <v>84</v>
      </c>
      <c r="J70" s="29">
        <f>50000+54963</f>
        <v>104963</v>
      </c>
      <c r="K70" s="29">
        <f t="shared" si="2"/>
        <v>104963</v>
      </c>
      <c r="L70" s="30"/>
      <c r="M70" s="30"/>
    </row>
    <row r="71" spans="1:13" s="41" customFormat="1" ht="28">
      <c r="A71" s="26">
        <v>5020301002</v>
      </c>
      <c r="B71" s="26" t="s">
        <v>262</v>
      </c>
      <c r="C71" s="26" t="s">
        <v>185</v>
      </c>
      <c r="D71" s="27" t="s">
        <v>34</v>
      </c>
      <c r="E71" s="26" t="s">
        <v>121</v>
      </c>
      <c r="F71" s="33" t="s">
        <v>104</v>
      </c>
      <c r="G71" s="33" t="s">
        <v>104</v>
      </c>
      <c r="H71" s="33" t="s">
        <v>104</v>
      </c>
      <c r="I71" s="27" t="s">
        <v>84</v>
      </c>
      <c r="J71" s="29">
        <f>2730+640+640+700+2100+70+600+2040+1200+1200+1200+540+1040+105+195</f>
        <v>15000</v>
      </c>
      <c r="K71" s="29">
        <f t="shared" si="2"/>
        <v>15000</v>
      </c>
      <c r="L71" s="30"/>
      <c r="M71" s="30"/>
    </row>
    <row r="72" spans="1:13" s="41" customFormat="1" ht="28">
      <c r="A72" s="26">
        <v>5020301002</v>
      </c>
      <c r="B72" s="26" t="s">
        <v>262</v>
      </c>
      <c r="C72" s="26" t="s">
        <v>190</v>
      </c>
      <c r="D72" s="27" t="s">
        <v>34</v>
      </c>
      <c r="E72" s="26" t="s">
        <v>122</v>
      </c>
      <c r="F72" s="33" t="s">
        <v>104</v>
      </c>
      <c r="G72" s="33" t="s">
        <v>104</v>
      </c>
      <c r="H72" s="33" t="s">
        <v>104</v>
      </c>
      <c r="I72" s="27" t="s">
        <v>84</v>
      </c>
      <c r="J72" s="29">
        <v>129850</v>
      </c>
      <c r="K72" s="29">
        <f t="shared" si="2"/>
        <v>129850</v>
      </c>
      <c r="L72" s="30"/>
      <c r="M72" s="30"/>
    </row>
    <row r="73" spans="1:13" s="41" customFormat="1" ht="28">
      <c r="A73" s="26">
        <v>5020301002</v>
      </c>
      <c r="B73" s="26" t="s">
        <v>262</v>
      </c>
      <c r="C73" s="26" t="s">
        <v>198</v>
      </c>
      <c r="D73" s="27" t="s">
        <v>34</v>
      </c>
      <c r="E73" s="26" t="s">
        <v>124</v>
      </c>
      <c r="F73" s="33" t="s">
        <v>104</v>
      </c>
      <c r="G73" s="33" t="s">
        <v>104</v>
      </c>
      <c r="H73" s="33" t="s">
        <v>104</v>
      </c>
      <c r="I73" s="27" t="s">
        <v>84</v>
      </c>
      <c r="J73" s="29">
        <f>589910+151425</f>
        <v>741335</v>
      </c>
      <c r="K73" s="29">
        <f t="shared" si="2"/>
        <v>741335</v>
      </c>
      <c r="L73" s="30"/>
      <c r="M73" s="30"/>
    </row>
    <row r="74" spans="1:13" s="41" customFormat="1" ht="28">
      <c r="A74" s="26">
        <v>5020301002</v>
      </c>
      <c r="B74" s="26" t="s">
        <v>262</v>
      </c>
      <c r="C74" s="26" t="s">
        <v>278</v>
      </c>
      <c r="D74" s="27" t="s">
        <v>34</v>
      </c>
      <c r="E74" s="26" t="s">
        <v>121</v>
      </c>
      <c r="F74" s="33" t="s">
        <v>104</v>
      </c>
      <c r="G74" s="33" t="s">
        <v>104</v>
      </c>
      <c r="H74" s="33" t="s">
        <v>104</v>
      </c>
      <c r="I74" s="27" t="s">
        <v>84</v>
      </c>
      <c r="J74" s="29">
        <v>29200</v>
      </c>
      <c r="K74" s="29">
        <f t="shared" si="2"/>
        <v>29200</v>
      </c>
      <c r="L74" s="30"/>
      <c r="M74" s="30"/>
    </row>
    <row r="75" spans="1:13" s="41" customFormat="1" ht="28">
      <c r="A75" s="26">
        <v>5020301002</v>
      </c>
      <c r="B75" s="26" t="s">
        <v>262</v>
      </c>
      <c r="C75" s="26" t="s">
        <v>227</v>
      </c>
      <c r="D75" s="27" t="s">
        <v>34</v>
      </c>
      <c r="E75" s="26" t="s">
        <v>122</v>
      </c>
      <c r="F75" s="33" t="s">
        <v>104</v>
      </c>
      <c r="G75" s="33" t="s">
        <v>104</v>
      </c>
      <c r="H75" s="33" t="s">
        <v>104</v>
      </c>
      <c r="I75" s="27" t="s">
        <v>84</v>
      </c>
      <c r="J75" s="29">
        <f>19356.85+2800</f>
        <v>22156.85</v>
      </c>
      <c r="K75" s="29">
        <f t="shared" si="2"/>
        <v>22156.85</v>
      </c>
      <c r="L75" s="30"/>
      <c r="M75" s="30"/>
    </row>
    <row r="76" spans="1:13" s="41" customFormat="1" ht="42">
      <c r="A76" s="26">
        <v>5020301002</v>
      </c>
      <c r="B76" s="26" t="s">
        <v>262</v>
      </c>
      <c r="C76" s="26" t="s">
        <v>247</v>
      </c>
      <c r="D76" s="27" t="s">
        <v>34</v>
      </c>
      <c r="E76" s="26" t="s">
        <v>116</v>
      </c>
      <c r="F76" s="33" t="s">
        <v>104</v>
      </c>
      <c r="G76" s="33" t="s">
        <v>104</v>
      </c>
      <c r="H76" s="33" t="s">
        <v>104</v>
      </c>
      <c r="I76" s="27" t="s">
        <v>84</v>
      </c>
      <c r="J76" s="29">
        <v>100290</v>
      </c>
      <c r="K76" s="29">
        <f t="shared" si="2"/>
        <v>100290</v>
      </c>
      <c r="L76" s="30"/>
      <c r="M76" s="30" t="s">
        <v>279</v>
      </c>
    </row>
    <row r="77" spans="1:13" s="41" customFormat="1" ht="28">
      <c r="A77" s="26">
        <v>5020301002</v>
      </c>
      <c r="B77" s="26" t="s">
        <v>262</v>
      </c>
      <c r="C77" s="26" t="s">
        <v>233</v>
      </c>
      <c r="D77" s="27" t="s">
        <v>34</v>
      </c>
      <c r="E77" s="26" t="s">
        <v>176</v>
      </c>
      <c r="F77" s="33" t="s">
        <v>104</v>
      </c>
      <c r="G77" s="33" t="s">
        <v>104</v>
      </c>
      <c r="H77" s="33" t="s">
        <v>104</v>
      </c>
      <c r="I77" s="27" t="s">
        <v>84</v>
      </c>
      <c r="J77" s="29">
        <f>24900+1201040</f>
        <v>1225940</v>
      </c>
      <c r="K77" s="29">
        <f t="shared" si="2"/>
        <v>1225940</v>
      </c>
      <c r="L77" s="30"/>
      <c r="M77" s="30"/>
    </row>
    <row r="78" spans="1:13" s="41" customFormat="1" ht="28">
      <c r="A78" s="26">
        <v>5020301002</v>
      </c>
      <c r="B78" s="26" t="s">
        <v>262</v>
      </c>
      <c r="C78" s="26" t="s">
        <v>255</v>
      </c>
      <c r="D78" s="27" t="s">
        <v>34</v>
      </c>
      <c r="E78" s="26" t="s">
        <v>116</v>
      </c>
      <c r="F78" s="33" t="s">
        <v>104</v>
      </c>
      <c r="G78" s="33" t="s">
        <v>104</v>
      </c>
      <c r="H78" s="33" t="s">
        <v>104</v>
      </c>
      <c r="I78" s="27" t="s">
        <v>84</v>
      </c>
      <c r="J78" s="29">
        <v>160315.6</v>
      </c>
      <c r="K78" s="29">
        <f t="shared" si="2"/>
        <v>160315.6</v>
      </c>
      <c r="L78" s="30"/>
      <c r="M78" s="30"/>
    </row>
    <row r="79" spans="1:13" s="41" customFormat="1" ht="42">
      <c r="A79" s="26">
        <v>5020301002</v>
      </c>
      <c r="B79" s="26" t="s">
        <v>262</v>
      </c>
      <c r="C79" s="26" t="s">
        <v>225</v>
      </c>
      <c r="D79" s="27" t="s">
        <v>34</v>
      </c>
      <c r="E79" s="26" t="s">
        <v>121</v>
      </c>
      <c r="F79" s="33" t="s">
        <v>104</v>
      </c>
      <c r="G79" s="33" t="s">
        <v>104</v>
      </c>
      <c r="H79" s="33" t="s">
        <v>104</v>
      </c>
      <c r="I79" s="27" t="s">
        <v>84</v>
      </c>
      <c r="J79" s="29">
        <v>108931.35</v>
      </c>
      <c r="K79" s="29">
        <f t="shared" ref="K79:K87" si="3">J79</f>
        <v>108931.35</v>
      </c>
      <c r="L79" s="30"/>
      <c r="M79" s="30"/>
    </row>
    <row r="80" spans="1:13" s="41" customFormat="1" ht="28">
      <c r="A80" s="26">
        <v>5020301002</v>
      </c>
      <c r="B80" s="26" t="s">
        <v>262</v>
      </c>
      <c r="C80" s="26" t="s">
        <v>232</v>
      </c>
      <c r="D80" s="27" t="s">
        <v>34</v>
      </c>
      <c r="E80" s="79" t="s">
        <v>335</v>
      </c>
      <c r="F80" s="33" t="s">
        <v>104</v>
      </c>
      <c r="G80" s="33" t="s">
        <v>104</v>
      </c>
      <c r="H80" s="33" t="s">
        <v>104</v>
      </c>
      <c r="I80" s="27" t="s">
        <v>84</v>
      </c>
      <c r="J80" s="29">
        <v>764300</v>
      </c>
      <c r="K80" s="29">
        <f t="shared" si="3"/>
        <v>764300</v>
      </c>
      <c r="L80" s="30"/>
      <c r="M80" s="30" t="s">
        <v>336</v>
      </c>
    </row>
    <row r="81" spans="1:13" s="41" customFormat="1" ht="28">
      <c r="A81" s="26">
        <v>5020301003</v>
      </c>
      <c r="B81" s="26" t="s">
        <v>262</v>
      </c>
      <c r="C81" s="26" t="s">
        <v>355</v>
      </c>
      <c r="D81" s="27" t="s">
        <v>34</v>
      </c>
      <c r="E81" s="78" t="s">
        <v>362</v>
      </c>
      <c r="F81" s="33" t="s">
        <v>104</v>
      </c>
      <c r="G81" s="33" t="s">
        <v>104</v>
      </c>
      <c r="H81" s="33" t="s">
        <v>104</v>
      </c>
      <c r="I81" s="27" t="s">
        <v>84</v>
      </c>
      <c r="J81" s="29">
        <f>SUM(68975+7496)</f>
        <v>76471</v>
      </c>
      <c r="K81" s="29">
        <f t="shared" si="3"/>
        <v>76471</v>
      </c>
      <c r="L81" s="30"/>
      <c r="M81" s="30" t="s">
        <v>346</v>
      </c>
    </row>
    <row r="82" spans="1:13" s="41" customFormat="1" ht="56">
      <c r="A82" s="26">
        <v>5020301002</v>
      </c>
      <c r="B82" s="26" t="s">
        <v>262</v>
      </c>
      <c r="C82" s="26" t="s">
        <v>343</v>
      </c>
      <c r="D82" s="27" t="s">
        <v>34</v>
      </c>
      <c r="E82" s="79" t="s">
        <v>350</v>
      </c>
      <c r="F82" s="33" t="s">
        <v>104</v>
      </c>
      <c r="G82" s="33" t="s">
        <v>104</v>
      </c>
      <c r="H82" s="33" t="s">
        <v>104</v>
      </c>
      <c r="I82" s="27" t="s">
        <v>84</v>
      </c>
      <c r="J82" s="29">
        <f>SUM(52755+745947+105280+198206)</f>
        <v>1102188</v>
      </c>
      <c r="K82" s="29">
        <f>J82</f>
        <v>1102188</v>
      </c>
      <c r="L82" s="30"/>
      <c r="M82" s="30" t="s">
        <v>346</v>
      </c>
    </row>
    <row r="83" spans="1:13" s="41" customFormat="1" ht="28">
      <c r="A83" s="26">
        <v>5020399000</v>
      </c>
      <c r="B83" s="31" t="s">
        <v>266</v>
      </c>
      <c r="C83" s="26" t="s">
        <v>105</v>
      </c>
      <c r="D83" s="27" t="s">
        <v>34</v>
      </c>
      <c r="E83" s="26" t="s">
        <v>122</v>
      </c>
      <c r="F83" s="27" t="s">
        <v>104</v>
      </c>
      <c r="G83" s="33" t="s">
        <v>104</v>
      </c>
      <c r="H83" s="33" t="s">
        <v>104</v>
      </c>
      <c r="I83" s="27" t="s">
        <v>84</v>
      </c>
      <c r="J83" s="29">
        <v>66000</v>
      </c>
      <c r="K83" s="29">
        <f t="shared" si="3"/>
        <v>66000</v>
      </c>
      <c r="L83" s="30"/>
      <c r="M83" s="30"/>
    </row>
    <row r="84" spans="1:13" s="41" customFormat="1" ht="28">
      <c r="A84" s="26">
        <v>5020301002</v>
      </c>
      <c r="B84" s="37" t="s">
        <v>266</v>
      </c>
      <c r="C84" s="26" t="s">
        <v>177</v>
      </c>
      <c r="D84" s="27" t="s">
        <v>34</v>
      </c>
      <c r="E84" s="26" t="s">
        <v>122</v>
      </c>
      <c r="F84" s="33" t="s">
        <v>104</v>
      </c>
      <c r="G84" s="33" t="s">
        <v>104</v>
      </c>
      <c r="H84" s="33" t="s">
        <v>104</v>
      </c>
      <c r="I84" s="27" t="s">
        <v>84</v>
      </c>
      <c r="J84" s="29">
        <v>230007.2</v>
      </c>
      <c r="K84" s="29">
        <f t="shared" si="3"/>
        <v>230007.2</v>
      </c>
      <c r="L84" s="30"/>
      <c r="M84" s="30"/>
    </row>
    <row r="85" spans="1:13" s="41" customFormat="1" ht="28">
      <c r="A85" s="26">
        <v>5020301004</v>
      </c>
      <c r="B85" s="37" t="s">
        <v>266</v>
      </c>
      <c r="C85" s="26" t="s">
        <v>226</v>
      </c>
      <c r="D85" s="27" t="s">
        <v>34</v>
      </c>
      <c r="E85" s="78" t="s">
        <v>310</v>
      </c>
      <c r="F85" s="33" t="s">
        <v>104</v>
      </c>
      <c r="G85" s="33" t="s">
        <v>104</v>
      </c>
      <c r="H85" s="33" t="s">
        <v>104</v>
      </c>
      <c r="I85" s="27" t="s">
        <v>84</v>
      </c>
      <c r="J85" s="29">
        <v>27797.7</v>
      </c>
      <c r="K85" s="29">
        <f>J85</f>
        <v>27797.7</v>
      </c>
      <c r="L85" s="30"/>
      <c r="M85" s="30"/>
    </row>
    <row r="86" spans="1:13" s="41" customFormat="1" ht="28">
      <c r="A86" s="26">
        <v>5020301002</v>
      </c>
      <c r="B86" s="37" t="s">
        <v>266</v>
      </c>
      <c r="C86" s="26" t="s">
        <v>255</v>
      </c>
      <c r="D86" s="27" t="s">
        <v>34</v>
      </c>
      <c r="E86" s="26" t="s">
        <v>116</v>
      </c>
      <c r="F86" s="33" t="s">
        <v>104</v>
      </c>
      <c r="G86" s="33" t="s">
        <v>104</v>
      </c>
      <c r="H86" s="33" t="s">
        <v>104</v>
      </c>
      <c r="I86" s="27" t="s">
        <v>84</v>
      </c>
      <c r="J86" s="29">
        <v>49330</v>
      </c>
      <c r="K86" s="29">
        <f t="shared" si="3"/>
        <v>49330</v>
      </c>
      <c r="L86" s="30"/>
      <c r="M86" s="30"/>
    </row>
    <row r="87" spans="1:13" s="41" customFormat="1" ht="28">
      <c r="A87" s="26">
        <v>5020399000</v>
      </c>
      <c r="B87" s="25" t="s">
        <v>129</v>
      </c>
      <c r="C87" s="26" t="s">
        <v>140</v>
      </c>
      <c r="D87" s="27" t="s">
        <v>34</v>
      </c>
      <c r="E87" s="26" t="s">
        <v>122</v>
      </c>
      <c r="F87" s="27" t="s">
        <v>104</v>
      </c>
      <c r="G87" s="33" t="s">
        <v>104</v>
      </c>
      <c r="H87" s="33" t="s">
        <v>104</v>
      </c>
      <c r="I87" s="27" t="s">
        <v>84</v>
      </c>
      <c r="J87" s="29">
        <v>12000</v>
      </c>
      <c r="K87" s="29">
        <f t="shared" si="3"/>
        <v>12000</v>
      </c>
      <c r="L87" s="30"/>
      <c r="M87" s="30" t="s">
        <v>270</v>
      </c>
    </row>
    <row r="88" spans="1:13" s="41" customFormat="1" ht="28">
      <c r="A88" s="26">
        <v>5020399000</v>
      </c>
      <c r="B88" s="26" t="s">
        <v>129</v>
      </c>
      <c r="C88" s="26" t="s">
        <v>148</v>
      </c>
      <c r="D88" s="27" t="s">
        <v>34</v>
      </c>
      <c r="E88" s="26" t="s">
        <v>138</v>
      </c>
      <c r="F88" s="27" t="s">
        <v>104</v>
      </c>
      <c r="G88" s="33" t="s">
        <v>104</v>
      </c>
      <c r="H88" s="33" t="s">
        <v>104</v>
      </c>
      <c r="I88" s="27" t="s">
        <v>84</v>
      </c>
      <c r="J88" s="29">
        <v>1122000</v>
      </c>
      <c r="K88" s="29">
        <f t="shared" ref="K88:K97" si="4">J88</f>
        <v>1122000</v>
      </c>
      <c r="L88" s="30"/>
      <c r="M88" s="30" t="s">
        <v>272</v>
      </c>
    </row>
    <row r="89" spans="1:13" s="41" customFormat="1" ht="28">
      <c r="A89" s="26">
        <v>5020399000</v>
      </c>
      <c r="B89" s="26" t="s">
        <v>129</v>
      </c>
      <c r="C89" s="26" t="s">
        <v>151</v>
      </c>
      <c r="D89" s="27" t="s">
        <v>34</v>
      </c>
      <c r="E89" s="26" t="s">
        <v>138</v>
      </c>
      <c r="F89" s="27" t="s">
        <v>104</v>
      </c>
      <c r="G89" s="33" t="s">
        <v>104</v>
      </c>
      <c r="H89" s="33" t="s">
        <v>104</v>
      </c>
      <c r="I89" s="27" t="s">
        <v>84</v>
      </c>
      <c r="J89" s="29">
        <v>1044000</v>
      </c>
      <c r="K89" s="29">
        <f t="shared" si="4"/>
        <v>1044000</v>
      </c>
      <c r="L89" s="30"/>
      <c r="M89" s="30"/>
    </row>
    <row r="90" spans="1:13" s="41" customFormat="1" ht="28">
      <c r="A90" s="26">
        <v>5020399000</v>
      </c>
      <c r="B90" s="26" t="s">
        <v>129</v>
      </c>
      <c r="C90" s="26" t="s">
        <v>171</v>
      </c>
      <c r="D90" s="27" t="s">
        <v>34</v>
      </c>
      <c r="E90" s="26" t="s">
        <v>122</v>
      </c>
      <c r="F90" s="27" t="s">
        <v>104</v>
      </c>
      <c r="G90" s="33" t="s">
        <v>104</v>
      </c>
      <c r="H90" s="33" t="s">
        <v>104</v>
      </c>
      <c r="I90" s="27" t="s">
        <v>84</v>
      </c>
      <c r="J90" s="29">
        <v>12500</v>
      </c>
      <c r="K90" s="29">
        <f t="shared" si="4"/>
        <v>12500</v>
      </c>
      <c r="L90" s="30"/>
      <c r="M90" s="30"/>
    </row>
    <row r="91" spans="1:13" s="41" customFormat="1" ht="28">
      <c r="A91" s="26">
        <v>5020399000</v>
      </c>
      <c r="B91" s="26" t="s">
        <v>129</v>
      </c>
      <c r="C91" s="26" t="s">
        <v>175</v>
      </c>
      <c r="D91" s="27" t="s">
        <v>34</v>
      </c>
      <c r="E91" s="26" t="s">
        <v>116</v>
      </c>
      <c r="F91" s="27" t="s">
        <v>104</v>
      </c>
      <c r="G91" s="33" t="s">
        <v>104</v>
      </c>
      <c r="H91" s="33" t="s">
        <v>104</v>
      </c>
      <c r="I91" s="27" t="s">
        <v>84</v>
      </c>
      <c r="J91" s="29">
        <v>29500</v>
      </c>
      <c r="K91" s="29">
        <f t="shared" si="4"/>
        <v>29500</v>
      </c>
      <c r="L91" s="30"/>
      <c r="M91" s="30"/>
    </row>
    <row r="92" spans="1:13" s="41" customFormat="1" ht="28">
      <c r="A92" s="26">
        <v>5020399000</v>
      </c>
      <c r="B92" s="26" t="s">
        <v>129</v>
      </c>
      <c r="C92" s="26" t="s">
        <v>190</v>
      </c>
      <c r="D92" s="27" t="s">
        <v>34</v>
      </c>
      <c r="E92" s="26" t="s">
        <v>122</v>
      </c>
      <c r="F92" s="27" t="s">
        <v>104</v>
      </c>
      <c r="G92" s="33" t="s">
        <v>104</v>
      </c>
      <c r="H92" s="33" t="s">
        <v>104</v>
      </c>
      <c r="I92" s="27" t="s">
        <v>84</v>
      </c>
      <c r="J92" s="29">
        <v>50000</v>
      </c>
      <c r="K92" s="29">
        <f t="shared" si="4"/>
        <v>50000</v>
      </c>
      <c r="L92" s="30"/>
      <c r="M92" s="30"/>
    </row>
    <row r="93" spans="1:13" s="41" customFormat="1" ht="28">
      <c r="A93" s="26">
        <v>5020399000</v>
      </c>
      <c r="B93" s="26" t="s">
        <v>129</v>
      </c>
      <c r="C93" s="26" t="s">
        <v>198</v>
      </c>
      <c r="D93" s="27" t="s">
        <v>34</v>
      </c>
      <c r="E93" s="26" t="s">
        <v>372</v>
      </c>
      <c r="F93" s="27" t="s">
        <v>104</v>
      </c>
      <c r="G93" s="33" t="s">
        <v>104</v>
      </c>
      <c r="H93" s="33" t="s">
        <v>104</v>
      </c>
      <c r="I93" s="27" t="s">
        <v>84</v>
      </c>
      <c r="J93" s="29">
        <f>29390+29900</f>
        <v>59290</v>
      </c>
      <c r="K93" s="29">
        <f t="shared" si="4"/>
        <v>59290</v>
      </c>
      <c r="L93" s="30"/>
      <c r="M93" s="30"/>
    </row>
    <row r="94" spans="1:13" s="41" customFormat="1" ht="42">
      <c r="A94" s="26">
        <v>5020399000</v>
      </c>
      <c r="B94" s="26" t="s">
        <v>129</v>
      </c>
      <c r="C94" s="26" t="s">
        <v>247</v>
      </c>
      <c r="D94" s="27" t="s">
        <v>34</v>
      </c>
      <c r="E94" s="26" t="s">
        <v>124</v>
      </c>
      <c r="F94" s="27" t="s">
        <v>104</v>
      </c>
      <c r="G94" s="33" t="s">
        <v>104</v>
      </c>
      <c r="H94" s="33" t="s">
        <v>104</v>
      </c>
      <c r="I94" s="27" t="s">
        <v>84</v>
      </c>
      <c r="J94" s="29">
        <v>14908</v>
      </c>
      <c r="K94" s="29">
        <f t="shared" si="4"/>
        <v>14908</v>
      </c>
      <c r="L94" s="30"/>
      <c r="M94" s="30"/>
    </row>
    <row r="95" spans="1:13" s="41" customFormat="1" ht="28">
      <c r="A95" s="26">
        <v>5020399000</v>
      </c>
      <c r="B95" s="26" t="s">
        <v>129</v>
      </c>
      <c r="C95" s="26" t="s">
        <v>233</v>
      </c>
      <c r="D95" s="27" t="s">
        <v>34</v>
      </c>
      <c r="E95" s="26" t="s">
        <v>152</v>
      </c>
      <c r="F95" s="27" t="s">
        <v>104</v>
      </c>
      <c r="G95" s="33" t="s">
        <v>104</v>
      </c>
      <c r="H95" s="33" t="s">
        <v>104</v>
      </c>
      <c r="I95" s="27" t="s">
        <v>84</v>
      </c>
      <c r="J95" s="29">
        <v>240000</v>
      </c>
      <c r="K95" s="29">
        <f t="shared" si="4"/>
        <v>240000</v>
      </c>
      <c r="L95" s="30"/>
      <c r="M95" s="30"/>
    </row>
    <row r="96" spans="1:13" s="41" customFormat="1" ht="28">
      <c r="A96" s="26">
        <v>5020399000</v>
      </c>
      <c r="B96" s="26" t="s">
        <v>129</v>
      </c>
      <c r="C96" s="26" t="s">
        <v>255</v>
      </c>
      <c r="D96" s="27" t="s">
        <v>34</v>
      </c>
      <c r="E96" s="26" t="s">
        <v>145</v>
      </c>
      <c r="F96" s="27" t="s">
        <v>104</v>
      </c>
      <c r="G96" s="33" t="s">
        <v>104</v>
      </c>
      <c r="H96" s="33" t="s">
        <v>104</v>
      </c>
      <c r="I96" s="27" t="s">
        <v>84</v>
      </c>
      <c r="J96" s="29">
        <f>18246+33806.75</f>
        <v>52052.75</v>
      </c>
      <c r="K96" s="29">
        <f t="shared" si="4"/>
        <v>52052.75</v>
      </c>
      <c r="L96" s="30"/>
      <c r="M96" s="30"/>
    </row>
    <row r="97" spans="1:42" s="41" customFormat="1" ht="42">
      <c r="A97" s="26">
        <v>5020399000</v>
      </c>
      <c r="B97" s="26" t="s">
        <v>129</v>
      </c>
      <c r="C97" s="26" t="s">
        <v>225</v>
      </c>
      <c r="D97" s="27" t="s">
        <v>34</v>
      </c>
      <c r="E97" s="26" t="s">
        <v>121</v>
      </c>
      <c r="F97" s="27" t="s">
        <v>104</v>
      </c>
      <c r="G97" s="33" t="s">
        <v>104</v>
      </c>
      <c r="H97" s="33" t="s">
        <v>104</v>
      </c>
      <c r="I97" s="27" t="s">
        <v>84</v>
      </c>
      <c r="J97" s="29">
        <f>194834.7+98469</f>
        <v>293303.7</v>
      </c>
      <c r="K97" s="29">
        <f t="shared" si="4"/>
        <v>293303.7</v>
      </c>
      <c r="L97" s="30"/>
      <c r="M97" s="30"/>
    </row>
    <row r="98" spans="1:42" s="41" customFormat="1">
      <c r="A98" s="26">
        <v>5020399000</v>
      </c>
      <c r="B98" s="25" t="s">
        <v>277</v>
      </c>
      <c r="C98" s="26" t="s">
        <v>185</v>
      </c>
      <c r="D98" s="27" t="s">
        <v>34</v>
      </c>
      <c r="E98" s="26" t="s">
        <v>121</v>
      </c>
      <c r="F98" s="27" t="s">
        <v>104</v>
      </c>
      <c r="G98" s="33" t="s">
        <v>104</v>
      </c>
      <c r="H98" s="33" t="s">
        <v>104</v>
      </c>
      <c r="I98" s="27" t="s">
        <v>84</v>
      </c>
      <c r="J98" s="29">
        <f>600+1250+5000+1250+3750+5000+2500+1900+500+1000+8000+3000+7500+750</f>
        <v>42000</v>
      </c>
      <c r="K98" s="29">
        <f>J98</f>
        <v>42000</v>
      </c>
      <c r="L98" s="30"/>
      <c r="M98" s="30"/>
    </row>
    <row r="99" spans="1:42" s="41" customFormat="1" ht="28">
      <c r="A99" s="26">
        <v>5020301002</v>
      </c>
      <c r="B99" s="25" t="s">
        <v>265</v>
      </c>
      <c r="C99" s="26" t="s">
        <v>234</v>
      </c>
      <c r="D99" s="27" t="s">
        <v>34</v>
      </c>
      <c r="E99" s="26" t="s">
        <v>116</v>
      </c>
      <c r="F99" s="27" t="s">
        <v>104</v>
      </c>
      <c r="G99" s="33" t="s">
        <v>104</v>
      </c>
      <c r="H99" s="33" t="s">
        <v>104</v>
      </c>
      <c r="I99" s="27" t="s">
        <v>84</v>
      </c>
      <c r="J99" s="29">
        <f>14000+2500+9000+14990</f>
        <v>40490</v>
      </c>
      <c r="K99" s="29">
        <f>J99</f>
        <v>40490</v>
      </c>
      <c r="L99" s="30"/>
      <c r="M99" s="30"/>
    </row>
    <row r="100" spans="1:42" s="41" customFormat="1" ht="28">
      <c r="A100" s="26">
        <v>5020301002</v>
      </c>
      <c r="B100" s="26" t="s">
        <v>265</v>
      </c>
      <c r="C100" s="26" t="s">
        <v>125</v>
      </c>
      <c r="D100" s="27" t="s">
        <v>34</v>
      </c>
      <c r="E100" s="26" t="s">
        <v>116</v>
      </c>
      <c r="F100" s="27" t="s">
        <v>104</v>
      </c>
      <c r="G100" s="33" t="s">
        <v>104</v>
      </c>
      <c r="H100" s="33" t="s">
        <v>104</v>
      </c>
      <c r="I100" s="27" t="s">
        <v>84</v>
      </c>
      <c r="J100" s="29">
        <f>27000</f>
        <v>27000</v>
      </c>
      <c r="K100" s="29">
        <f>J100</f>
        <v>27000</v>
      </c>
      <c r="L100" s="30"/>
      <c r="M100" s="30"/>
    </row>
    <row r="101" spans="1:42" s="26" customFormat="1" ht="29.25" customHeight="1">
      <c r="A101" s="26">
        <v>5020301002</v>
      </c>
      <c r="B101" s="26" t="s">
        <v>265</v>
      </c>
      <c r="C101" s="26" t="s">
        <v>140</v>
      </c>
      <c r="D101" s="27" t="s">
        <v>34</v>
      </c>
      <c r="E101" s="26" t="s">
        <v>122</v>
      </c>
      <c r="F101" s="27" t="s">
        <v>104</v>
      </c>
      <c r="G101" s="33" t="s">
        <v>104</v>
      </c>
      <c r="H101" s="33" t="s">
        <v>104</v>
      </c>
      <c r="I101" s="27" t="s">
        <v>84</v>
      </c>
      <c r="J101" s="29">
        <v>48000</v>
      </c>
      <c r="K101" s="29">
        <f t="shared" ref="K101:K106" si="5">J101</f>
        <v>48000</v>
      </c>
      <c r="L101" s="30"/>
      <c r="M101" s="30" t="s">
        <v>267</v>
      </c>
      <c r="N101" s="26" t="s">
        <v>151</v>
      </c>
      <c r="O101" s="26" t="s">
        <v>151</v>
      </c>
      <c r="P101" s="26" t="s">
        <v>151</v>
      </c>
      <c r="Q101" s="26" t="s">
        <v>151</v>
      </c>
      <c r="R101" s="26" t="s">
        <v>151</v>
      </c>
      <c r="S101" s="26" t="s">
        <v>151</v>
      </c>
      <c r="T101" s="26" t="s">
        <v>151</v>
      </c>
      <c r="U101" s="26" t="s">
        <v>151</v>
      </c>
      <c r="V101" s="26" t="s">
        <v>151</v>
      </c>
      <c r="W101" s="26" t="s">
        <v>151</v>
      </c>
      <c r="X101" s="26" t="s">
        <v>151</v>
      </c>
      <c r="Y101" s="26" t="s">
        <v>151</v>
      </c>
      <c r="Z101" s="26" t="s">
        <v>151</v>
      </c>
      <c r="AA101" s="26" t="s">
        <v>151</v>
      </c>
      <c r="AB101" s="26" t="s">
        <v>151</v>
      </c>
      <c r="AC101" s="26" t="s">
        <v>151</v>
      </c>
      <c r="AD101" s="26" t="s">
        <v>151</v>
      </c>
      <c r="AE101" s="26" t="s">
        <v>151</v>
      </c>
      <c r="AF101" s="26" t="s">
        <v>151</v>
      </c>
      <c r="AG101" s="26" t="s">
        <v>151</v>
      </c>
      <c r="AH101" s="26" t="s">
        <v>151</v>
      </c>
      <c r="AI101" s="26" t="s">
        <v>151</v>
      </c>
      <c r="AJ101" s="26" t="s">
        <v>151</v>
      </c>
      <c r="AK101" s="26" t="s">
        <v>151</v>
      </c>
      <c r="AL101" s="26" t="s">
        <v>151</v>
      </c>
      <c r="AM101" s="26" t="s">
        <v>151</v>
      </c>
      <c r="AN101" s="26" t="s">
        <v>151</v>
      </c>
      <c r="AO101" s="26" t="s">
        <v>151</v>
      </c>
      <c r="AP101" s="26" t="s">
        <v>151</v>
      </c>
    </row>
    <row r="102" spans="1:42" s="41" customFormat="1" ht="29.25" customHeight="1">
      <c r="A102" s="26">
        <v>5020301002</v>
      </c>
      <c r="B102" s="26" t="s">
        <v>265</v>
      </c>
      <c r="C102" s="26" t="s">
        <v>151</v>
      </c>
      <c r="D102" s="27" t="s">
        <v>34</v>
      </c>
      <c r="E102" s="26" t="s">
        <v>154</v>
      </c>
      <c r="F102" s="27" t="s">
        <v>104</v>
      </c>
      <c r="G102" s="33" t="s">
        <v>104</v>
      </c>
      <c r="H102" s="33" t="s">
        <v>104</v>
      </c>
      <c r="I102" s="27" t="s">
        <v>84</v>
      </c>
      <c r="J102" s="29">
        <v>76599.600000000006</v>
      </c>
      <c r="K102" s="29">
        <f t="shared" si="5"/>
        <v>76599.600000000006</v>
      </c>
      <c r="L102" s="30"/>
      <c r="M102" s="30" t="s">
        <v>273</v>
      </c>
    </row>
    <row r="103" spans="1:42" s="41" customFormat="1" ht="29.25" customHeight="1">
      <c r="A103" s="26">
        <v>5020301002</v>
      </c>
      <c r="B103" s="26" t="s">
        <v>265</v>
      </c>
      <c r="C103" s="26" t="s">
        <v>169</v>
      </c>
      <c r="D103" s="27" t="s">
        <v>34</v>
      </c>
      <c r="E103" s="26" t="s">
        <v>121</v>
      </c>
      <c r="F103" s="27" t="s">
        <v>104</v>
      </c>
      <c r="G103" s="33" t="s">
        <v>104</v>
      </c>
      <c r="H103" s="33" t="s">
        <v>104</v>
      </c>
      <c r="I103" s="27" t="s">
        <v>84</v>
      </c>
      <c r="J103" s="29">
        <f>640000+20000</f>
        <v>660000</v>
      </c>
      <c r="K103" s="29">
        <f t="shared" si="5"/>
        <v>660000</v>
      </c>
      <c r="L103" s="30"/>
      <c r="M103" s="30" t="s">
        <v>275</v>
      </c>
    </row>
    <row r="104" spans="1:42" s="41" customFormat="1" ht="29.25" customHeight="1">
      <c r="A104" s="26">
        <v>5020301002</v>
      </c>
      <c r="B104" s="26" t="s">
        <v>265</v>
      </c>
      <c r="C104" s="26" t="s">
        <v>198</v>
      </c>
      <c r="D104" s="27" t="s">
        <v>34</v>
      </c>
      <c r="E104" s="26" t="s">
        <v>373</v>
      </c>
      <c r="F104" s="27" t="s">
        <v>104</v>
      </c>
      <c r="G104" s="33" t="s">
        <v>104</v>
      </c>
      <c r="H104" s="33" t="s">
        <v>104</v>
      </c>
      <c r="I104" s="27" t="s">
        <v>84</v>
      </c>
      <c r="J104" s="29">
        <f>20000+99998+569996</f>
        <v>689994</v>
      </c>
      <c r="K104" s="29">
        <f t="shared" si="5"/>
        <v>689994</v>
      </c>
      <c r="L104" s="30"/>
      <c r="M104" s="30" t="s">
        <v>374</v>
      </c>
    </row>
    <row r="105" spans="1:42" s="41" customFormat="1" ht="29.25" customHeight="1">
      <c r="A105" s="26">
        <v>5020301002</v>
      </c>
      <c r="B105" s="26" t="s">
        <v>265</v>
      </c>
      <c r="C105" s="26" t="s">
        <v>278</v>
      </c>
      <c r="D105" s="27" t="s">
        <v>34</v>
      </c>
      <c r="E105" s="26" t="s">
        <v>121</v>
      </c>
      <c r="F105" s="27" t="s">
        <v>104</v>
      </c>
      <c r="G105" s="33" t="s">
        <v>104</v>
      </c>
      <c r="H105" s="33" t="s">
        <v>104</v>
      </c>
      <c r="I105" s="27" t="s">
        <v>84</v>
      </c>
      <c r="J105" s="29">
        <v>6500</v>
      </c>
      <c r="K105" s="29">
        <f t="shared" si="5"/>
        <v>6500</v>
      </c>
      <c r="L105" s="30"/>
      <c r="M105" s="30"/>
    </row>
    <row r="106" spans="1:42" s="41" customFormat="1" ht="29.25" customHeight="1">
      <c r="A106" s="26">
        <v>5020301002</v>
      </c>
      <c r="B106" s="26" t="s">
        <v>265</v>
      </c>
      <c r="C106" s="26" t="s">
        <v>227</v>
      </c>
      <c r="D106" s="27" t="s">
        <v>34</v>
      </c>
      <c r="E106" s="26" t="s">
        <v>122</v>
      </c>
      <c r="F106" s="27" t="s">
        <v>104</v>
      </c>
      <c r="G106" s="33" t="s">
        <v>104</v>
      </c>
      <c r="H106" s="33" t="s">
        <v>104</v>
      </c>
      <c r="I106" s="27" t="s">
        <v>84</v>
      </c>
      <c r="J106" s="29">
        <v>2598.84</v>
      </c>
      <c r="K106" s="29">
        <f t="shared" si="5"/>
        <v>2598.84</v>
      </c>
      <c r="L106" s="30"/>
      <c r="M106" s="30"/>
    </row>
    <row r="107" spans="1:42" s="41" customFormat="1" ht="28">
      <c r="A107" s="26">
        <v>5020301002</v>
      </c>
      <c r="B107" s="26" t="s">
        <v>265</v>
      </c>
      <c r="C107" s="26" t="s">
        <v>233</v>
      </c>
      <c r="D107" s="27" t="s">
        <v>34</v>
      </c>
      <c r="E107" s="26" t="s">
        <v>152</v>
      </c>
      <c r="F107" s="27" t="s">
        <v>104</v>
      </c>
      <c r="G107" s="33" t="s">
        <v>104</v>
      </c>
      <c r="H107" s="33" t="s">
        <v>104</v>
      </c>
      <c r="I107" s="27" t="s">
        <v>84</v>
      </c>
      <c r="J107" s="29">
        <v>560000</v>
      </c>
      <c r="K107" s="29">
        <f t="shared" ref="K107:K116" si="6">J107</f>
        <v>560000</v>
      </c>
      <c r="L107" s="30"/>
      <c r="M107" s="30" t="s">
        <v>280</v>
      </c>
    </row>
    <row r="108" spans="1:42" s="41" customFormat="1" ht="28">
      <c r="A108" s="26">
        <v>5020301003</v>
      </c>
      <c r="B108" s="26" t="s">
        <v>265</v>
      </c>
      <c r="C108" s="26" t="s">
        <v>378</v>
      </c>
      <c r="D108" s="27" t="s">
        <v>43</v>
      </c>
      <c r="E108" s="79" t="s">
        <v>335</v>
      </c>
      <c r="F108" s="27" t="s">
        <v>104</v>
      </c>
      <c r="G108" s="33" t="s">
        <v>104</v>
      </c>
      <c r="H108" s="33" t="s">
        <v>104</v>
      </c>
      <c r="I108" s="27" t="s">
        <v>84</v>
      </c>
      <c r="J108" s="29">
        <v>135000</v>
      </c>
      <c r="K108" s="29">
        <f t="shared" si="6"/>
        <v>135000</v>
      </c>
      <c r="L108" s="30"/>
      <c r="M108" s="30" t="s">
        <v>379</v>
      </c>
    </row>
    <row r="109" spans="1:42" s="41" customFormat="1" ht="28">
      <c r="A109" s="26">
        <v>5020301003</v>
      </c>
      <c r="B109" s="26" t="s">
        <v>265</v>
      </c>
      <c r="C109" s="26" t="s">
        <v>343</v>
      </c>
      <c r="D109" s="27" t="s">
        <v>43</v>
      </c>
      <c r="E109" s="79" t="s">
        <v>331</v>
      </c>
      <c r="F109" s="27" t="s">
        <v>104</v>
      </c>
      <c r="G109" s="33" t="s">
        <v>104</v>
      </c>
      <c r="H109" s="33" t="s">
        <v>104</v>
      </c>
      <c r="I109" s="27" t="s">
        <v>84</v>
      </c>
      <c r="J109" s="29">
        <v>228000</v>
      </c>
      <c r="K109" s="29">
        <f t="shared" si="6"/>
        <v>228000</v>
      </c>
      <c r="L109" s="30"/>
      <c r="M109" s="30" t="s">
        <v>345</v>
      </c>
    </row>
    <row r="110" spans="1:42" s="41" customFormat="1" ht="42">
      <c r="A110" s="26">
        <v>5020399000</v>
      </c>
      <c r="B110" s="35" t="s">
        <v>93</v>
      </c>
      <c r="C110" s="26" t="s">
        <v>220</v>
      </c>
      <c r="D110" s="27" t="s">
        <v>34</v>
      </c>
      <c r="E110" s="26" t="s">
        <v>122</v>
      </c>
      <c r="F110" s="27" t="s">
        <v>104</v>
      </c>
      <c r="G110" s="33" t="s">
        <v>104</v>
      </c>
      <c r="H110" s="33" t="s">
        <v>104</v>
      </c>
      <c r="I110" s="27" t="s">
        <v>84</v>
      </c>
      <c r="J110" s="29">
        <f>688819.45-50000-29700+100268.94</f>
        <v>709388.3899999999</v>
      </c>
      <c r="K110" s="29">
        <f t="shared" si="6"/>
        <v>709388.3899999999</v>
      </c>
      <c r="L110" s="30"/>
      <c r="M110" s="30" t="s">
        <v>160</v>
      </c>
    </row>
    <row r="111" spans="1:42" s="41" customFormat="1" ht="28">
      <c r="A111" s="26">
        <v>5020399000</v>
      </c>
      <c r="B111" s="35" t="s">
        <v>93</v>
      </c>
      <c r="C111" s="26" t="s">
        <v>111</v>
      </c>
      <c r="D111" s="27" t="s">
        <v>34</v>
      </c>
      <c r="E111" s="26" t="s">
        <v>122</v>
      </c>
      <c r="F111" s="27" t="s">
        <v>104</v>
      </c>
      <c r="G111" s="33" t="s">
        <v>104</v>
      </c>
      <c r="H111" s="33" t="s">
        <v>104</v>
      </c>
      <c r="I111" s="27" t="s">
        <v>84</v>
      </c>
      <c r="J111" s="29">
        <f>274018+789155</f>
        <v>1063173</v>
      </c>
      <c r="K111" s="29">
        <f t="shared" si="6"/>
        <v>1063173</v>
      </c>
      <c r="L111" s="30"/>
      <c r="M111" s="30" t="s">
        <v>221</v>
      </c>
    </row>
    <row r="112" spans="1:42" s="41" customFormat="1" ht="28">
      <c r="A112" s="26">
        <v>5020399000</v>
      </c>
      <c r="B112" s="35" t="s">
        <v>181</v>
      </c>
      <c r="C112" s="26" t="s">
        <v>177</v>
      </c>
      <c r="D112" s="27" t="s">
        <v>34</v>
      </c>
      <c r="E112" s="26" t="s">
        <v>122</v>
      </c>
      <c r="F112" s="27" t="s">
        <v>104</v>
      </c>
      <c r="G112" s="33" t="s">
        <v>104</v>
      </c>
      <c r="H112" s="33" t="s">
        <v>104</v>
      </c>
      <c r="I112" s="27" t="s">
        <v>84</v>
      </c>
      <c r="J112" s="29">
        <v>102700</v>
      </c>
      <c r="K112" s="29">
        <f t="shared" si="6"/>
        <v>102700</v>
      </c>
      <c r="L112" s="30"/>
      <c r="M112" s="30" t="s">
        <v>221</v>
      </c>
    </row>
    <row r="113" spans="1:13" s="41" customFormat="1" ht="28">
      <c r="A113" s="26">
        <v>5020399000</v>
      </c>
      <c r="B113" s="35" t="s">
        <v>94</v>
      </c>
      <c r="C113" s="26" t="s">
        <v>220</v>
      </c>
      <c r="D113" s="27" t="s">
        <v>34</v>
      </c>
      <c r="E113" s="26" t="s">
        <v>122</v>
      </c>
      <c r="F113" s="27" t="s">
        <v>104</v>
      </c>
      <c r="G113" s="33" t="s">
        <v>104</v>
      </c>
      <c r="H113" s="33" t="s">
        <v>104</v>
      </c>
      <c r="I113" s="27" t="s">
        <v>84</v>
      </c>
      <c r="J113" s="29">
        <f>148420.5+99084.5</f>
        <v>247505</v>
      </c>
      <c r="K113" s="29">
        <f t="shared" si="6"/>
        <v>247505</v>
      </c>
      <c r="L113" s="30"/>
      <c r="M113" s="30" t="s">
        <v>229</v>
      </c>
    </row>
    <row r="114" spans="1:13" s="41" customFormat="1" ht="42">
      <c r="A114" s="26">
        <v>5020399000</v>
      </c>
      <c r="B114" s="36" t="s">
        <v>94</v>
      </c>
      <c r="C114" s="26" t="s">
        <v>225</v>
      </c>
      <c r="D114" s="27" t="s">
        <v>43</v>
      </c>
      <c r="E114" s="26" t="s">
        <v>116</v>
      </c>
      <c r="F114" s="27" t="s">
        <v>104</v>
      </c>
      <c r="G114" s="33" t="s">
        <v>104</v>
      </c>
      <c r="H114" s="33" t="s">
        <v>104</v>
      </c>
      <c r="I114" s="27" t="s">
        <v>84</v>
      </c>
      <c r="J114" s="29">
        <f>223575.24</f>
        <v>223575.24</v>
      </c>
      <c r="K114" s="29">
        <f t="shared" si="6"/>
        <v>223575.24</v>
      </c>
      <c r="L114" s="30"/>
      <c r="M114" s="30" t="s">
        <v>158</v>
      </c>
    </row>
    <row r="115" spans="1:13" s="41" customFormat="1" ht="28">
      <c r="A115" s="26">
        <v>5020399001</v>
      </c>
      <c r="B115" s="36" t="s">
        <v>94</v>
      </c>
      <c r="C115" s="26" t="s">
        <v>177</v>
      </c>
      <c r="D115" s="27" t="s">
        <v>43</v>
      </c>
      <c r="E115" s="79" t="s">
        <v>383</v>
      </c>
      <c r="F115" s="27" t="s">
        <v>104</v>
      </c>
      <c r="G115" s="33" t="s">
        <v>104</v>
      </c>
      <c r="H115" s="33" t="s">
        <v>104</v>
      </c>
      <c r="I115" s="27" t="s">
        <v>84</v>
      </c>
      <c r="J115" s="29">
        <v>37400</v>
      </c>
      <c r="K115" s="29">
        <f t="shared" si="6"/>
        <v>37400</v>
      </c>
      <c r="L115" s="30"/>
      <c r="M115" s="30"/>
    </row>
    <row r="116" spans="1:13" s="41" customFormat="1" ht="42">
      <c r="A116" s="26">
        <v>5020201002</v>
      </c>
      <c r="B116" s="31" t="s">
        <v>95</v>
      </c>
      <c r="C116" s="26" t="s">
        <v>105</v>
      </c>
      <c r="D116" s="27" t="s">
        <v>43</v>
      </c>
      <c r="E116" s="28" t="s">
        <v>116</v>
      </c>
      <c r="F116" s="27" t="s">
        <v>104</v>
      </c>
      <c r="G116" s="33" t="s">
        <v>104</v>
      </c>
      <c r="H116" s="33" t="s">
        <v>104</v>
      </c>
      <c r="I116" s="27" t="s">
        <v>84</v>
      </c>
      <c r="J116" s="29">
        <f>54600+1950+216000+119600+209300+227500+161200+256100+104000+65000+130000+15000+53300+110000+36000</f>
        <v>1759550</v>
      </c>
      <c r="K116" s="29">
        <f t="shared" si="6"/>
        <v>1759550</v>
      </c>
      <c r="L116" s="30"/>
      <c r="M116" s="30" t="s">
        <v>155</v>
      </c>
    </row>
    <row r="117" spans="1:13" s="41" customFormat="1" ht="56">
      <c r="A117" s="26">
        <v>5020201002</v>
      </c>
      <c r="B117" s="37" t="s">
        <v>95</v>
      </c>
      <c r="C117" s="26" t="s">
        <v>105</v>
      </c>
      <c r="D117" s="27" t="s">
        <v>43</v>
      </c>
      <c r="E117" s="78" t="s">
        <v>303</v>
      </c>
      <c r="F117" s="27" t="s">
        <v>104</v>
      </c>
      <c r="G117" s="33" t="s">
        <v>104</v>
      </c>
      <c r="H117" s="33" t="s">
        <v>104</v>
      </c>
      <c r="I117" s="27" t="s">
        <v>84</v>
      </c>
      <c r="J117" s="29">
        <v>53300</v>
      </c>
      <c r="K117" s="34">
        <f t="shared" ref="K117:K250" si="7">J117</f>
        <v>53300</v>
      </c>
      <c r="L117" s="30"/>
      <c r="M117" s="30" t="s">
        <v>312</v>
      </c>
    </row>
    <row r="118" spans="1:13" s="41" customFormat="1" ht="42">
      <c r="A118" s="26">
        <v>5020201002</v>
      </c>
      <c r="B118" s="37" t="s">
        <v>95</v>
      </c>
      <c r="C118" s="26" t="s">
        <v>105</v>
      </c>
      <c r="D118" s="27" t="s">
        <v>43</v>
      </c>
      <c r="E118" s="78" t="s">
        <v>316</v>
      </c>
      <c r="F118" s="27" t="s">
        <v>104</v>
      </c>
      <c r="G118" s="33" t="s">
        <v>104</v>
      </c>
      <c r="H118" s="33" t="s">
        <v>104</v>
      </c>
      <c r="I118" s="27" t="s">
        <v>84</v>
      </c>
      <c r="J118" s="29">
        <v>83200</v>
      </c>
      <c r="K118" s="29">
        <f t="shared" si="7"/>
        <v>83200</v>
      </c>
      <c r="L118" s="30"/>
      <c r="M118" s="30" t="s">
        <v>317</v>
      </c>
    </row>
    <row r="119" spans="1:13" s="41" customFormat="1" ht="42">
      <c r="A119" s="26">
        <v>5020201002</v>
      </c>
      <c r="B119" s="37" t="s">
        <v>95</v>
      </c>
      <c r="C119" s="26" t="s">
        <v>105</v>
      </c>
      <c r="D119" s="27" t="s">
        <v>43</v>
      </c>
      <c r="E119" s="78" t="s">
        <v>326</v>
      </c>
      <c r="F119" s="27" t="s">
        <v>104</v>
      </c>
      <c r="G119" s="33" t="s">
        <v>104</v>
      </c>
      <c r="H119" s="33" t="s">
        <v>104</v>
      </c>
      <c r="I119" s="27" t="s">
        <v>84</v>
      </c>
      <c r="J119" s="29">
        <v>32500</v>
      </c>
      <c r="K119" s="29">
        <f t="shared" si="7"/>
        <v>32500</v>
      </c>
      <c r="L119" s="30"/>
      <c r="M119" s="30" t="s">
        <v>330</v>
      </c>
    </row>
    <row r="120" spans="1:13" s="41" customFormat="1" ht="42">
      <c r="A120" s="26">
        <v>5020201002</v>
      </c>
      <c r="B120" s="37" t="s">
        <v>95</v>
      </c>
      <c r="C120" s="26" t="s">
        <v>105</v>
      </c>
      <c r="D120" s="27" t="s">
        <v>43</v>
      </c>
      <c r="E120" s="78" t="s">
        <v>326</v>
      </c>
      <c r="F120" s="27" t="s">
        <v>104</v>
      </c>
      <c r="G120" s="33" t="s">
        <v>104</v>
      </c>
      <c r="H120" s="33" t="s">
        <v>104</v>
      </c>
      <c r="I120" s="27" t="s">
        <v>84</v>
      </c>
      <c r="J120" s="29">
        <v>32500</v>
      </c>
      <c r="K120" s="29">
        <f t="shared" si="7"/>
        <v>32500</v>
      </c>
      <c r="L120" s="30"/>
      <c r="M120" s="30" t="s">
        <v>329</v>
      </c>
    </row>
    <row r="121" spans="1:13" s="41" customFormat="1" ht="42">
      <c r="A121" s="26">
        <v>5020201002</v>
      </c>
      <c r="B121" s="37" t="s">
        <v>95</v>
      </c>
      <c r="C121" s="26" t="s">
        <v>105</v>
      </c>
      <c r="D121" s="27" t="s">
        <v>43</v>
      </c>
      <c r="E121" s="78" t="s">
        <v>326</v>
      </c>
      <c r="F121" s="27" t="s">
        <v>104</v>
      </c>
      <c r="G121" s="33" t="s">
        <v>104</v>
      </c>
      <c r="H121" s="33" t="s">
        <v>104</v>
      </c>
      <c r="I121" s="27" t="s">
        <v>84</v>
      </c>
      <c r="J121" s="29">
        <v>32500</v>
      </c>
      <c r="K121" s="29">
        <f t="shared" si="7"/>
        <v>32500</v>
      </c>
      <c r="L121" s="30"/>
      <c r="M121" s="30" t="s">
        <v>328</v>
      </c>
    </row>
    <row r="122" spans="1:13" s="41" customFormat="1" ht="42">
      <c r="A122" s="26">
        <v>5020201002</v>
      </c>
      <c r="B122" s="37" t="s">
        <v>95</v>
      </c>
      <c r="C122" s="26" t="s">
        <v>105</v>
      </c>
      <c r="D122" s="27" t="s">
        <v>43</v>
      </c>
      <c r="E122" s="78" t="s">
        <v>326</v>
      </c>
      <c r="F122" s="27" t="s">
        <v>104</v>
      </c>
      <c r="G122" s="33" t="s">
        <v>104</v>
      </c>
      <c r="H122" s="33" t="s">
        <v>104</v>
      </c>
      <c r="I122" s="27" t="s">
        <v>84</v>
      </c>
      <c r="J122" s="29">
        <v>32500</v>
      </c>
      <c r="K122" s="29">
        <f t="shared" si="7"/>
        <v>32500</v>
      </c>
      <c r="L122" s="30"/>
      <c r="M122" s="30" t="s">
        <v>327</v>
      </c>
    </row>
    <row r="123" spans="1:13" s="41" customFormat="1" ht="42">
      <c r="A123" s="26">
        <v>5020201002</v>
      </c>
      <c r="B123" s="37" t="s">
        <v>95</v>
      </c>
      <c r="C123" s="26" t="s">
        <v>109</v>
      </c>
      <c r="D123" s="27" t="s">
        <v>43</v>
      </c>
      <c r="E123" s="26" t="s">
        <v>115</v>
      </c>
      <c r="F123" s="27" t="s">
        <v>104</v>
      </c>
      <c r="G123" s="33" t="s">
        <v>104</v>
      </c>
      <c r="H123" s="33" t="s">
        <v>104</v>
      </c>
      <c r="I123" s="27" t="s">
        <v>84</v>
      </c>
      <c r="J123" s="29">
        <f>50000+25300+160000+25670+4950+99450+15950+49400</f>
        <v>430720</v>
      </c>
      <c r="K123" s="34">
        <f t="shared" si="7"/>
        <v>430720</v>
      </c>
      <c r="L123" s="30"/>
      <c r="M123" s="30" t="s">
        <v>159</v>
      </c>
    </row>
    <row r="124" spans="1:13" s="41" customFormat="1" ht="42">
      <c r="A124" s="26">
        <v>5020201002</v>
      </c>
      <c r="B124" s="37" t="s">
        <v>95</v>
      </c>
      <c r="C124" s="26" t="s">
        <v>234</v>
      </c>
      <c r="D124" s="27" t="s">
        <v>43</v>
      </c>
      <c r="E124" s="26" t="s">
        <v>115</v>
      </c>
      <c r="F124" s="27" t="s">
        <v>104</v>
      </c>
      <c r="G124" s="33" t="s">
        <v>104</v>
      </c>
      <c r="H124" s="33" t="s">
        <v>104</v>
      </c>
      <c r="I124" s="27" t="s">
        <v>84</v>
      </c>
      <c r="J124" s="34">
        <f>203000+319000</f>
        <v>522000</v>
      </c>
      <c r="K124" s="34">
        <f t="shared" si="7"/>
        <v>522000</v>
      </c>
      <c r="L124" s="30"/>
      <c r="M124" s="30" t="s">
        <v>157</v>
      </c>
    </row>
    <row r="125" spans="1:13" s="41" customFormat="1" ht="42">
      <c r="A125" s="26">
        <v>5020201002</v>
      </c>
      <c r="B125" s="37" t="s">
        <v>95</v>
      </c>
      <c r="C125" s="26" t="s">
        <v>111</v>
      </c>
      <c r="D125" s="27" t="s">
        <v>43</v>
      </c>
      <c r="E125" s="32" t="s">
        <v>117</v>
      </c>
      <c r="F125" s="27" t="s">
        <v>104</v>
      </c>
      <c r="G125" s="33" t="s">
        <v>104</v>
      </c>
      <c r="H125" s="33" t="s">
        <v>104</v>
      </c>
      <c r="I125" s="27" t="s">
        <v>84</v>
      </c>
      <c r="J125" s="34">
        <f>58500</f>
        <v>58500</v>
      </c>
      <c r="K125" s="34">
        <v>58500</v>
      </c>
      <c r="L125" s="30"/>
      <c r="M125" s="30" t="s">
        <v>159</v>
      </c>
    </row>
    <row r="126" spans="1:13" s="41" customFormat="1" ht="42">
      <c r="A126" s="26">
        <v>5020201002</v>
      </c>
      <c r="B126" s="37" t="s">
        <v>95</v>
      </c>
      <c r="C126" s="26" t="s">
        <v>126</v>
      </c>
      <c r="D126" s="27" t="s">
        <v>43</v>
      </c>
      <c r="E126" s="32" t="s">
        <v>127</v>
      </c>
      <c r="F126" s="27" t="s">
        <v>104</v>
      </c>
      <c r="G126" s="33" t="s">
        <v>104</v>
      </c>
      <c r="H126" s="33" t="s">
        <v>104</v>
      </c>
      <c r="I126" s="27" t="s">
        <v>84</v>
      </c>
      <c r="J126" s="34">
        <v>58500</v>
      </c>
      <c r="K126" s="34">
        <v>58500</v>
      </c>
      <c r="L126" s="30"/>
      <c r="M126" s="30" t="s">
        <v>159</v>
      </c>
    </row>
    <row r="127" spans="1:13" s="41" customFormat="1" ht="42">
      <c r="A127" s="26">
        <v>5020201002</v>
      </c>
      <c r="B127" s="37" t="s">
        <v>95</v>
      </c>
      <c r="C127" s="26" t="s">
        <v>140</v>
      </c>
      <c r="D127" s="27" t="s">
        <v>43</v>
      </c>
      <c r="E127" s="32" t="s">
        <v>127</v>
      </c>
      <c r="F127" s="27" t="s">
        <v>104</v>
      </c>
      <c r="G127" s="33" t="s">
        <v>104</v>
      </c>
      <c r="H127" s="33" t="s">
        <v>104</v>
      </c>
      <c r="I127" s="27" t="s">
        <v>84</v>
      </c>
      <c r="J127" s="34">
        <v>96250</v>
      </c>
      <c r="K127" s="34">
        <f t="shared" si="7"/>
        <v>96250</v>
      </c>
      <c r="L127" s="30"/>
      <c r="M127" s="30" t="s">
        <v>159</v>
      </c>
    </row>
    <row r="128" spans="1:13" s="41" customFormat="1" ht="42">
      <c r="A128" s="26">
        <v>5020201002</v>
      </c>
      <c r="B128" s="37" t="s">
        <v>95</v>
      </c>
      <c r="C128" s="26" t="s">
        <v>144</v>
      </c>
      <c r="D128" s="27" t="s">
        <v>43</v>
      </c>
      <c r="E128" s="32" t="s">
        <v>146</v>
      </c>
      <c r="F128" s="27" t="s">
        <v>104</v>
      </c>
      <c r="G128" s="33" t="s">
        <v>104</v>
      </c>
      <c r="H128" s="33" t="s">
        <v>104</v>
      </c>
      <c r="I128" s="27" t="s">
        <v>84</v>
      </c>
      <c r="J128" s="34">
        <f>57600+28800+28800+57600+57600+57600</f>
        <v>288000</v>
      </c>
      <c r="K128" s="34">
        <f t="shared" si="7"/>
        <v>288000</v>
      </c>
      <c r="L128" s="30"/>
      <c r="M128" s="30" t="s">
        <v>159</v>
      </c>
    </row>
    <row r="129" spans="1:13" s="41" customFormat="1" ht="42">
      <c r="A129" s="26">
        <v>5020201002</v>
      </c>
      <c r="B129" s="37" t="s">
        <v>95</v>
      </c>
      <c r="C129" s="26" t="s">
        <v>148</v>
      </c>
      <c r="D129" s="27" t="s">
        <v>43</v>
      </c>
      <c r="E129" s="32" t="s">
        <v>127</v>
      </c>
      <c r="F129" s="27" t="s">
        <v>104</v>
      </c>
      <c r="G129" s="33" t="s">
        <v>104</v>
      </c>
      <c r="H129" s="33" t="s">
        <v>104</v>
      </c>
      <c r="I129" s="27" t="s">
        <v>84</v>
      </c>
      <c r="J129" s="34">
        <v>240000</v>
      </c>
      <c r="K129" s="34">
        <f t="shared" si="7"/>
        <v>240000</v>
      </c>
      <c r="L129" s="30"/>
      <c r="M129" s="30" t="s">
        <v>188</v>
      </c>
    </row>
    <row r="130" spans="1:13" s="41" customFormat="1" ht="42">
      <c r="A130" s="26">
        <v>5020201002</v>
      </c>
      <c r="B130" s="37" t="s">
        <v>95</v>
      </c>
      <c r="C130" s="26" t="s">
        <v>151</v>
      </c>
      <c r="D130" s="27" t="s">
        <v>43</v>
      </c>
      <c r="E130" s="32" t="s">
        <v>128</v>
      </c>
      <c r="F130" s="27" t="s">
        <v>104</v>
      </c>
      <c r="G130" s="33" t="s">
        <v>104</v>
      </c>
      <c r="H130" s="33" t="s">
        <v>104</v>
      </c>
      <c r="I130" s="27" t="s">
        <v>84</v>
      </c>
      <c r="J130" s="34">
        <f>240000+50000</f>
        <v>290000</v>
      </c>
      <c r="K130" s="34">
        <f t="shared" si="7"/>
        <v>290000</v>
      </c>
      <c r="L130" s="30"/>
      <c r="M130" s="30" t="s">
        <v>187</v>
      </c>
    </row>
    <row r="131" spans="1:13" s="41" customFormat="1" ht="42">
      <c r="A131" s="26">
        <v>5020201002</v>
      </c>
      <c r="B131" s="37" t="s">
        <v>95</v>
      </c>
      <c r="C131" s="26" t="s">
        <v>264</v>
      </c>
      <c r="D131" s="27" t="s">
        <v>43</v>
      </c>
      <c r="E131" s="32" t="s">
        <v>122</v>
      </c>
      <c r="F131" s="27" t="s">
        <v>104</v>
      </c>
      <c r="G131" s="33" t="s">
        <v>104</v>
      </c>
      <c r="H131" s="33" t="s">
        <v>104</v>
      </c>
      <c r="I131" s="27" t="s">
        <v>84</v>
      </c>
      <c r="J131" s="34">
        <f>32500+50000</f>
        <v>82500</v>
      </c>
      <c r="K131" s="34">
        <f t="shared" si="7"/>
        <v>82500</v>
      </c>
      <c r="L131" s="30"/>
      <c r="M131" s="30" t="s">
        <v>159</v>
      </c>
    </row>
    <row r="132" spans="1:13" s="41" customFormat="1" ht="42">
      <c r="A132" s="26">
        <v>5020201002</v>
      </c>
      <c r="B132" s="37" t="s">
        <v>95</v>
      </c>
      <c r="C132" s="26" t="s">
        <v>185</v>
      </c>
      <c r="D132" s="27" t="s">
        <v>43</v>
      </c>
      <c r="E132" s="32" t="s">
        <v>121</v>
      </c>
      <c r="F132" s="27" t="s">
        <v>104</v>
      </c>
      <c r="G132" s="33" t="s">
        <v>104</v>
      </c>
      <c r="H132" s="33" t="s">
        <v>104</v>
      </c>
      <c r="I132" s="27" t="s">
        <v>84</v>
      </c>
      <c r="J132" s="34">
        <v>33000</v>
      </c>
      <c r="K132" s="34">
        <f t="shared" si="7"/>
        <v>33000</v>
      </c>
      <c r="L132" s="30"/>
      <c r="M132" s="30" t="s">
        <v>155</v>
      </c>
    </row>
    <row r="133" spans="1:13" s="41" customFormat="1" ht="42">
      <c r="A133" s="26">
        <v>5020201002</v>
      </c>
      <c r="B133" s="37" t="s">
        <v>95</v>
      </c>
      <c r="C133" s="26" t="s">
        <v>190</v>
      </c>
      <c r="D133" s="27" t="s">
        <v>43</v>
      </c>
      <c r="E133" s="32" t="s">
        <v>138</v>
      </c>
      <c r="F133" s="27" t="s">
        <v>104</v>
      </c>
      <c r="G133" s="33" t="s">
        <v>104</v>
      </c>
      <c r="H133" s="33" t="s">
        <v>104</v>
      </c>
      <c r="I133" s="27" t="s">
        <v>84</v>
      </c>
      <c r="J133" s="34">
        <f>78000+52000</f>
        <v>130000</v>
      </c>
      <c r="K133" s="34">
        <f t="shared" si="7"/>
        <v>130000</v>
      </c>
      <c r="L133" s="30"/>
      <c r="M133" s="30" t="s">
        <v>159</v>
      </c>
    </row>
    <row r="134" spans="1:13" s="41" customFormat="1" ht="42">
      <c r="A134" s="26">
        <v>5020201002</v>
      </c>
      <c r="B134" s="37" t="s">
        <v>95</v>
      </c>
      <c r="C134" s="26" t="s">
        <v>198</v>
      </c>
      <c r="D134" s="27" t="s">
        <v>43</v>
      </c>
      <c r="E134" s="32" t="s">
        <v>376</v>
      </c>
      <c r="F134" s="27" t="s">
        <v>104</v>
      </c>
      <c r="G134" s="33" t="s">
        <v>104</v>
      </c>
      <c r="H134" s="33" t="s">
        <v>104</v>
      </c>
      <c r="I134" s="27" t="s">
        <v>84</v>
      </c>
      <c r="J134" s="34">
        <f>507000+45500</f>
        <v>552500</v>
      </c>
      <c r="K134" s="34">
        <f t="shared" ref="K134:K141" si="8">J134</f>
        <v>552500</v>
      </c>
      <c r="L134" s="30"/>
      <c r="M134" s="30" t="s">
        <v>155</v>
      </c>
    </row>
    <row r="135" spans="1:13" s="41" customFormat="1" ht="42">
      <c r="A135" s="26">
        <v>5020201002</v>
      </c>
      <c r="B135" s="37" t="s">
        <v>95</v>
      </c>
      <c r="C135" s="26" t="s">
        <v>208</v>
      </c>
      <c r="D135" s="27" t="s">
        <v>43</v>
      </c>
      <c r="E135" s="32" t="s">
        <v>210</v>
      </c>
      <c r="F135" s="27" t="s">
        <v>104</v>
      </c>
      <c r="G135" s="33" t="s">
        <v>104</v>
      </c>
      <c r="H135" s="33" t="s">
        <v>104</v>
      </c>
      <c r="I135" s="27" t="s">
        <v>84</v>
      </c>
      <c r="J135" s="34">
        <f>(49500*4)+550000</f>
        <v>748000</v>
      </c>
      <c r="K135" s="34">
        <f t="shared" si="8"/>
        <v>748000</v>
      </c>
      <c r="L135" s="30"/>
      <c r="M135" s="30" t="s">
        <v>155</v>
      </c>
    </row>
    <row r="136" spans="1:13" s="41" customFormat="1" ht="42">
      <c r="A136" s="26">
        <v>5020201002</v>
      </c>
      <c r="B136" s="37" t="s">
        <v>95</v>
      </c>
      <c r="C136" s="26" t="s">
        <v>212</v>
      </c>
      <c r="D136" s="27" t="s">
        <v>43</v>
      </c>
      <c r="E136" s="32" t="s">
        <v>213</v>
      </c>
      <c r="F136" s="27" t="s">
        <v>104</v>
      </c>
      <c r="G136" s="33" t="s">
        <v>104</v>
      </c>
      <c r="H136" s="33" t="s">
        <v>104</v>
      </c>
      <c r="I136" s="27" t="s">
        <v>84</v>
      </c>
      <c r="J136" s="34">
        <f>395000+49000+49000+98000+49000</f>
        <v>640000</v>
      </c>
      <c r="K136" s="34">
        <f t="shared" si="8"/>
        <v>640000</v>
      </c>
      <c r="L136" s="30"/>
      <c r="M136" s="30" t="s">
        <v>156</v>
      </c>
    </row>
    <row r="137" spans="1:13" s="41" customFormat="1" ht="42">
      <c r="A137" s="26">
        <v>5020201002</v>
      </c>
      <c r="B137" s="37" t="s">
        <v>95</v>
      </c>
      <c r="C137" s="26" t="s">
        <v>264</v>
      </c>
      <c r="D137" s="27" t="s">
        <v>43</v>
      </c>
      <c r="E137" s="32" t="s">
        <v>115</v>
      </c>
      <c r="F137" s="27" t="s">
        <v>104</v>
      </c>
      <c r="G137" s="33" t="s">
        <v>104</v>
      </c>
      <c r="H137" s="33" t="s">
        <v>104</v>
      </c>
      <c r="I137" s="27" t="s">
        <v>84</v>
      </c>
      <c r="J137" s="34">
        <f>90000+51000+30000+30000+49500+24840+144300</f>
        <v>419640</v>
      </c>
      <c r="K137" s="34">
        <f t="shared" si="8"/>
        <v>419640</v>
      </c>
      <c r="L137" s="30"/>
      <c r="M137" s="30" t="s">
        <v>156</v>
      </c>
    </row>
    <row r="138" spans="1:13" s="41" customFormat="1" ht="42">
      <c r="A138" s="26">
        <v>5020201002</v>
      </c>
      <c r="B138" s="37" t="s">
        <v>95</v>
      </c>
      <c r="C138" s="26" t="s">
        <v>220</v>
      </c>
      <c r="D138" s="27" t="s">
        <v>43</v>
      </c>
      <c r="E138" s="32" t="s">
        <v>127</v>
      </c>
      <c r="F138" s="27" t="s">
        <v>104</v>
      </c>
      <c r="G138" s="33" t="s">
        <v>104</v>
      </c>
      <c r="H138" s="33" t="s">
        <v>104</v>
      </c>
      <c r="I138" s="27" t="s">
        <v>84</v>
      </c>
      <c r="J138" s="34">
        <f>81200+58000+58000+31900+29000+27500+29000+52500+52500+58000</f>
        <v>477600</v>
      </c>
      <c r="K138" s="34">
        <f t="shared" si="8"/>
        <v>477600</v>
      </c>
      <c r="L138" s="30"/>
      <c r="M138" s="30" t="s">
        <v>158</v>
      </c>
    </row>
    <row r="139" spans="1:13" s="41" customFormat="1" ht="42">
      <c r="A139" s="26">
        <v>5020201002</v>
      </c>
      <c r="B139" s="37" t="s">
        <v>95</v>
      </c>
      <c r="C139" s="26" t="s">
        <v>226</v>
      </c>
      <c r="D139" s="27" t="s">
        <v>43</v>
      </c>
      <c r="E139" s="32" t="s">
        <v>145</v>
      </c>
      <c r="F139" s="27" t="s">
        <v>104</v>
      </c>
      <c r="G139" s="33" t="s">
        <v>104</v>
      </c>
      <c r="H139" s="33" t="s">
        <v>104</v>
      </c>
      <c r="I139" s="27" t="s">
        <v>84</v>
      </c>
      <c r="J139" s="34">
        <v>18850</v>
      </c>
      <c r="K139" s="34">
        <f t="shared" si="8"/>
        <v>18850</v>
      </c>
      <c r="L139" s="30"/>
      <c r="M139" s="30" t="s">
        <v>251</v>
      </c>
    </row>
    <row r="140" spans="1:13" s="41" customFormat="1" ht="42">
      <c r="A140" s="26">
        <v>5020201002</v>
      </c>
      <c r="B140" s="37" t="s">
        <v>95</v>
      </c>
      <c r="C140" s="26" t="s">
        <v>227</v>
      </c>
      <c r="D140" s="27" t="s">
        <v>43</v>
      </c>
      <c r="E140" s="32" t="s">
        <v>210</v>
      </c>
      <c r="F140" s="27" t="s">
        <v>104</v>
      </c>
      <c r="G140" s="33" t="s">
        <v>104</v>
      </c>
      <c r="H140" s="33" t="s">
        <v>104</v>
      </c>
      <c r="I140" s="27" t="s">
        <v>84</v>
      </c>
      <c r="J140" s="34">
        <v>59800</v>
      </c>
      <c r="K140" s="34">
        <f t="shared" si="8"/>
        <v>59800</v>
      </c>
      <c r="L140" s="30"/>
      <c r="M140" s="30" t="s">
        <v>299</v>
      </c>
    </row>
    <row r="141" spans="1:13" s="41" customFormat="1" ht="42">
      <c r="A141" s="26">
        <v>5020201002</v>
      </c>
      <c r="B141" s="37" t="s">
        <v>95</v>
      </c>
      <c r="C141" s="26" t="s">
        <v>227</v>
      </c>
      <c r="D141" s="27" t="s">
        <v>43</v>
      </c>
      <c r="E141" s="76" t="s">
        <v>298</v>
      </c>
      <c r="F141" s="27" t="s">
        <v>104</v>
      </c>
      <c r="G141" s="33" t="s">
        <v>104</v>
      </c>
      <c r="H141" s="33" t="s">
        <v>104</v>
      </c>
      <c r="I141" s="27" t="s">
        <v>84</v>
      </c>
      <c r="J141" s="34">
        <v>272740</v>
      </c>
      <c r="K141" s="34">
        <f t="shared" si="8"/>
        <v>272740</v>
      </c>
      <c r="L141" s="30"/>
      <c r="M141" s="30" t="s">
        <v>157</v>
      </c>
    </row>
    <row r="142" spans="1:13" s="41" customFormat="1" ht="42">
      <c r="A142" s="26">
        <v>5020201002</v>
      </c>
      <c r="B142" s="37" t="s">
        <v>95</v>
      </c>
      <c r="C142" s="26" t="s">
        <v>225</v>
      </c>
      <c r="D142" s="27" t="s">
        <v>43</v>
      </c>
      <c r="E142" s="32" t="s">
        <v>231</v>
      </c>
      <c r="F142" s="27" t="s">
        <v>104</v>
      </c>
      <c r="G142" s="33" t="s">
        <v>104</v>
      </c>
      <c r="H142" s="33" t="s">
        <v>104</v>
      </c>
      <c r="I142" s="27" t="s">
        <v>84</v>
      </c>
      <c r="J142" s="34">
        <f>364000+150000</f>
        <v>514000</v>
      </c>
      <c r="K142" s="34">
        <f t="shared" si="7"/>
        <v>514000</v>
      </c>
      <c r="L142" s="30"/>
      <c r="M142" s="30" t="s">
        <v>158</v>
      </c>
    </row>
    <row r="143" spans="1:13" s="41" customFormat="1" ht="42">
      <c r="A143" s="26">
        <v>5020201002</v>
      </c>
      <c r="B143" s="37" t="s">
        <v>95</v>
      </c>
      <c r="C143" s="26" t="s">
        <v>235</v>
      </c>
      <c r="D143" s="27" t="s">
        <v>43</v>
      </c>
      <c r="E143" s="32" t="s">
        <v>239</v>
      </c>
      <c r="F143" s="27" t="s">
        <v>104</v>
      </c>
      <c r="G143" s="33" t="s">
        <v>104</v>
      </c>
      <c r="H143" s="33" t="s">
        <v>104</v>
      </c>
      <c r="I143" s="27" t="s">
        <v>84</v>
      </c>
      <c r="J143" s="34">
        <f>26000+29250+40950+241800</f>
        <v>338000</v>
      </c>
      <c r="K143" s="34">
        <f t="shared" si="7"/>
        <v>338000</v>
      </c>
      <c r="L143" s="30"/>
      <c r="M143" s="30" t="s">
        <v>159</v>
      </c>
    </row>
    <row r="144" spans="1:13" s="41" customFormat="1" ht="42">
      <c r="A144" s="26">
        <v>5020201002</v>
      </c>
      <c r="B144" s="37" t="s">
        <v>95</v>
      </c>
      <c r="C144" s="26" t="s">
        <v>240</v>
      </c>
      <c r="D144" s="27" t="s">
        <v>43</v>
      </c>
      <c r="E144" s="32" t="s">
        <v>216</v>
      </c>
      <c r="F144" s="27" t="s">
        <v>104</v>
      </c>
      <c r="G144" s="33" t="s">
        <v>104</v>
      </c>
      <c r="H144" s="33" t="s">
        <v>104</v>
      </c>
      <c r="I144" s="27" t="s">
        <v>84</v>
      </c>
      <c r="J144" s="34">
        <f>27500+140000</f>
        <v>167500</v>
      </c>
      <c r="K144" s="34">
        <f t="shared" si="7"/>
        <v>167500</v>
      </c>
      <c r="L144" s="30"/>
      <c r="M144" s="30" t="s">
        <v>159</v>
      </c>
    </row>
    <row r="145" spans="1:13" s="41" customFormat="1" ht="42">
      <c r="A145" s="26">
        <v>5020201002</v>
      </c>
      <c r="B145" s="37" t="s">
        <v>95</v>
      </c>
      <c r="C145" s="26" t="s">
        <v>233</v>
      </c>
      <c r="D145" s="27" t="s">
        <v>43</v>
      </c>
      <c r="E145" s="32" t="s">
        <v>146</v>
      </c>
      <c r="F145" s="27" t="s">
        <v>104</v>
      </c>
      <c r="G145" s="33" t="s">
        <v>104</v>
      </c>
      <c r="H145" s="33" t="s">
        <v>104</v>
      </c>
      <c r="I145" s="27" t="s">
        <v>84</v>
      </c>
      <c r="J145" s="34">
        <v>647600</v>
      </c>
      <c r="K145" s="34">
        <f t="shared" si="7"/>
        <v>647600</v>
      </c>
      <c r="L145" s="30"/>
      <c r="M145" s="30" t="s">
        <v>251</v>
      </c>
    </row>
    <row r="146" spans="1:13" s="41" customFormat="1" ht="42">
      <c r="A146" s="26">
        <v>5020201002</v>
      </c>
      <c r="B146" s="37" t="s">
        <v>95</v>
      </c>
      <c r="C146" s="26" t="s">
        <v>255</v>
      </c>
      <c r="D146" s="27" t="s">
        <v>43</v>
      </c>
      <c r="E146" s="32" t="s">
        <v>116</v>
      </c>
      <c r="F146" s="27" t="s">
        <v>104</v>
      </c>
      <c r="G146" s="33" t="s">
        <v>104</v>
      </c>
      <c r="H146" s="33" t="s">
        <v>104</v>
      </c>
      <c r="I146" s="27" t="s">
        <v>84</v>
      </c>
      <c r="J146" s="34">
        <v>25000</v>
      </c>
      <c r="K146" s="34">
        <f t="shared" si="7"/>
        <v>25000</v>
      </c>
      <c r="L146" s="30"/>
      <c r="M146" s="30" t="s">
        <v>158</v>
      </c>
    </row>
    <row r="147" spans="1:13" s="41" customFormat="1" ht="42">
      <c r="A147" s="26">
        <v>5020201002</v>
      </c>
      <c r="B147" s="37" t="s">
        <v>95</v>
      </c>
      <c r="C147" s="95" t="s">
        <v>356</v>
      </c>
      <c r="D147" s="61" t="s">
        <v>43</v>
      </c>
      <c r="E147" s="109">
        <v>45261</v>
      </c>
      <c r="F147" s="69" t="s">
        <v>104</v>
      </c>
      <c r="G147" s="109" t="s">
        <v>104</v>
      </c>
      <c r="H147" s="109" t="s">
        <v>104</v>
      </c>
      <c r="I147" s="69" t="s">
        <v>84</v>
      </c>
      <c r="J147" s="100">
        <f>SUM(115200+129600)</f>
        <v>244800</v>
      </c>
      <c r="K147" s="86">
        <f t="shared" si="7"/>
        <v>244800</v>
      </c>
      <c r="L147" s="30"/>
      <c r="M147" s="69" t="s">
        <v>357</v>
      </c>
    </row>
    <row r="148" spans="1:13" s="41" customFormat="1" ht="56">
      <c r="A148" s="26">
        <v>5020201003</v>
      </c>
      <c r="B148" s="37" t="s">
        <v>95</v>
      </c>
      <c r="C148" s="96" t="s">
        <v>355</v>
      </c>
      <c r="D148" s="61" t="s">
        <v>43</v>
      </c>
      <c r="E148" s="131" t="s">
        <v>359</v>
      </c>
      <c r="F148" s="69" t="s">
        <v>104</v>
      </c>
      <c r="G148" s="109" t="s">
        <v>104</v>
      </c>
      <c r="H148" s="109" t="s">
        <v>104</v>
      </c>
      <c r="I148" s="69" t="s">
        <v>84</v>
      </c>
      <c r="J148" s="108">
        <f>SUM(281450+32500+35000+861000)</f>
        <v>1209950</v>
      </c>
      <c r="K148" s="86">
        <f t="shared" si="7"/>
        <v>1209950</v>
      </c>
      <c r="L148" s="30"/>
      <c r="M148" s="69" t="s">
        <v>358</v>
      </c>
    </row>
    <row r="149" spans="1:13" s="41" customFormat="1" ht="42">
      <c r="A149" s="26">
        <v>5020201004</v>
      </c>
      <c r="B149" s="37" t="s">
        <v>95</v>
      </c>
      <c r="C149" s="116" t="s">
        <v>363</v>
      </c>
      <c r="D149" s="61" t="s">
        <v>43</v>
      </c>
      <c r="E149" s="132" t="s">
        <v>314</v>
      </c>
      <c r="F149" s="117" t="s">
        <v>104</v>
      </c>
      <c r="G149" s="118" t="s">
        <v>104</v>
      </c>
      <c r="H149" s="118" t="s">
        <v>104</v>
      </c>
      <c r="I149" s="69" t="s">
        <v>84</v>
      </c>
      <c r="J149" s="108">
        <v>345000</v>
      </c>
      <c r="K149" s="86">
        <f t="shared" si="7"/>
        <v>345000</v>
      </c>
      <c r="L149" s="30"/>
      <c r="M149" s="117" t="s">
        <v>364</v>
      </c>
    </row>
    <row r="150" spans="1:13" s="41" customFormat="1" ht="42">
      <c r="A150" s="26">
        <v>5020201002</v>
      </c>
      <c r="B150" s="31" t="s">
        <v>96</v>
      </c>
      <c r="C150" s="26" t="s">
        <v>105</v>
      </c>
      <c r="D150" s="27" t="s">
        <v>43</v>
      </c>
      <c r="E150" s="26" t="s">
        <v>139</v>
      </c>
      <c r="F150" s="27" t="s">
        <v>104</v>
      </c>
      <c r="G150" s="33" t="s">
        <v>104</v>
      </c>
      <c r="H150" s="33" t="s">
        <v>104</v>
      </c>
      <c r="I150" s="27" t="s">
        <v>84</v>
      </c>
      <c r="J150" s="29">
        <f>858000+457600+100000+210000+1632000+360000+1920000+480000+200000+456000+420000+456000+390000</f>
        <v>7939600</v>
      </c>
      <c r="K150" s="29">
        <f t="shared" si="7"/>
        <v>7939600</v>
      </c>
      <c r="L150" s="30">
        <v>546000</v>
      </c>
      <c r="M150" s="30" t="s">
        <v>155</v>
      </c>
    </row>
    <row r="151" spans="1:13" s="41" customFormat="1" ht="42">
      <c r="A151" s="26">
        <v>5020201002</v>
      </c>
      <c r="B151" s="37" t="s">
        <v>96</v>
      </c>
      <c r="C151" s="26" t="s">
        <v>105</v>
      </c>
      <c r="D151" s="27" t="s">
        <v>43</v>
      </c>
      <c r="E151" s="79" t="s">
        <v>307</v>
      </c>
      <c r="F151" s="27" t="s">
        <v>104</v>
      </c>
      <c r="G151" s="33" t="s">
        <v>104</v>
      </c>
      <c r="H151" s="33" t="s">
        <v>104</v>
      </c>
      <c r="I151" s="27" t="s">
        <v>84</v>
      </c>
      <c r="J151" s="29">
        <v>615000</v>
      </c>
      <c r="K151" s="29">
        <f>J151</f>
        <v>615000</v>
      </c>
      <c r="L151" s="30"/>
      <c r="M151" s="30" t="s">
        <v>308</v>
      </c>
    </row>
    <row r="152" spans="1:13" s="41" customFormat="1" ht="42">
      <c r="A152" s="26">
        <v>5020201002</v>
      </c>
      <c r="B152" s="37" t="s">
        <v>96</v>
      </c>
      <c r="C152" s="26" t="s">
        <v>105</v>
      </c>
      <c r="D152" s="27" t="s">
        <v>43</v>
      </c>
      <c r="E152" s="78" t="s">
        <v>303</v>
      </c>
      <c r="F152" s="27" t="s">
        <v>104</v>
      </c>
      <c r="G152" s="33" t="s">
        <v>104</v>
      </c>
      <c r="H152" s="33" t="s">
        <v>104</v>
      </c>
      <c r="I152" s="27" t="s">
        <v>84</v>
      </c>
      <c r="J152" s="29">
        <f>90000+120000+144000+180000</f>
        <v>534000</v>
      </c>
      <c r="K152" s="29">
        <f t="shared" si="7"/>
        <v>534000</v>
      </c>
      <c r="L152" s="30"/>
      <c r="M152" s="30" t="s">
        <v>313</v>
      </c>
    </row>
    <row r="153" spans="1:13" s="41" customFormat="1" ht="42">
      <c r="A153" s="26">
        <v>5020201003</v>
      </c>
      <c r="B153" s="37" t="s">
        <v>96</v>
      </c>
      <c r="C153" s="26" t="s">
        <v>105</v>
      </c>
      <c r="D153" s="27" t="s">
        <v>43</v>
      </c>
      <c r="E153" s="78" t="s">
        <v>303</v>
      </c>
      <c r="F153" s="27" t="s">
        <v>104</v>
      </c>
      <c r="G153" s="33" t="s">
        <v>104</v>
      </c>
      <c r="H153" s="33" t="s">
        <v>104</v>
      </c>
      <c r="I153" s="27" t="s">
        <v>84</v>
      </c>
      <c r="J153" s="29">
        <v>594000</v>
      </c>
      <c r="K153" s="29">
        <f t="shared" si="7"/>
        <v>594000</v>
      </c>
      <c r="L153" s="30"/>
      <c r="M153" s="30" t="s">
        <v>322</v>
      </c>
    </row>
    <row r="154" spans="1:13" s="41" customFormat="1" ht="42">
      <c r="A154" s="26">
        <v>5020201004</v>
      </c>
      <c r="B154" s="37" t="s">
        <v>96</v>
      </c>
      <c r="C154" s="26" t="s">
        <v>105</v>
      </c>
      <c r="D154" s="27" t="s">
        <v>43</v>
      </c>
      <c r="E154" s="78" t="s">
        <v>316</v>
      </c>
      <c r="F154" s="27" t="s">
        <v>104</v>
      </c>
      <c r="G154" s="33" t="s">
        <v>104</v>
      </c>
      <c r="H154" s="33" t="s">
        <v>104</v>
      </c>
      <c r="I154" s="27" t="s">
        <v>84</v>
      </c>
      <c r="J154" s="29">
        <v>72750</v>
      </c>
      <c r="K154" s="29">
        <f t="shared" si="7"/>
        <v>72750</v>
      </c>
      <c r="L154" s="30"/>
      <c r="M154" s="30" t="s">
        <v>325</v>
      </c>
    </row>
    <row r="155" spans="1:13" s="41" customFormat="1" ht="42">
      <c r="A155" s="26">
        <v>5020201005</v>
      </c>
      <c r="B155" s="37" t="s">
        <v>96</v>
      </c>
      <c r="C155" s="26" t="s">
        <v>109</v>
      </c>
      <c r="D155" s="27" t="s">
        <v>43</v>
      </c>
      <c r="E155" s="78" t="s">
        <v>115</v>
      </c>
      <c r="F155" s="27" t="s">
        <v>104</v>
      </c>
      <c r="G155" s="33" t="s">
        <v>104</v>
      </c>
      <c r="H155" s="33" t="s">
        <v>104</v>
      </c>
      <c r="I155" s="27" t="s">
        <v>84</v>
      </c>
      <c r="J155" s="29">
        <v>2652000</v>
      </c>
      <c r="K155" s="29">
        <f t="shared" si="7"/>
        <v>2652000</v>
      </c>
      <c r="L155" s="30"/>
      <c r="M155" s="30" t="s">
        <v>157</v>
      </c>
    </row>
    <row r="156" spans="1:13" s="41" customFormat="1" ht="42">
      <c r="A156" s="26">
        <v>5020201002</v>
      </c>
      <c r="B156" s="37" t="s">
        <v>96</v>
      </c>
      <c r="C156" s="26" t="s">
        <v>234</v>
      </c>
      <c r="D156" s="27" t="s">
        <v>43</v>
      </c>
      <c r="E156" s="26" t="s">
        <v>118</v>
      </c>
      <c r="F156" s="27" t="s">
        <v>104</v>
      </c>
      <c r="G156" s="33" t="s">
        <v>104</v>
      </c>
      <c r="H156" s="33" t="s">
        <v>104</v>
      </c>
      <c r="I156" s="27" t="s">
        <v>84</v>
      </c>
      <c r="J156" s="29">
        <v>534000</v>
      </c>
      <c r="K156" s="29">
        <f t="shared" si="7"/>
        <v>534000</v>
      </c>
      <c r="L156" s="30"/>
      <c r="M156" s="30" t="s">
        <v>157</v>
      </c>
    </row>
    <row r="157" spans="1:13" s="41" customFormat="1" ht="42">
      <c r="A157" s="26">
        <v>5020201002</v>
      </c>
      <c r="B157" s="37" t="s">
        <v>96</v>
      </c>
      <c r="C157" s="26" t="s">
        <v>111</v>
      </c>
      <c r="D157" s="27" t="s">
        <v>43</v>
      </c>
      <c r="E157" s="26" t="s">
        <v>119</v>
      </c>
      <c r="F157" s="27" t="s">
        <v>104</v>
      </c>
      <c r="G157" s="33" t="s">
        <v>104</v>
      </c>
      <c r="H157" s="33" t="s">
        <v>104</v>
      </c>
      <c r="I157" s="27" t="s">
        <v>84</v>
      </c>
      <c r="J157" s="29">
        <v>481000</v>
      </c>
      <c r="K157" s="29">
        <f t="shared" si="7"/>
        <v>481000</v>
      </c>
      <c r="L157" s="30"/>
      <c r="M157" s="30" t="s">
        <v>158</v>
      </c>
    </row>
    <row r="158" spans="1:13" s="41" customFormat="1" ht="42">
      <c r="A158" s="26">
        <v>5020201002</v>
      </c>
      <c r="B158" s="37" t="s">
        <v>96</v>
      </c>
      <c r="C158" s="26" t="s">
        <v>126</v>
      </c>
      <c r="D158" s="27" t="s">
        <v>43</v>
      </c>
      <c r="E158" s="26" t="s">
        <v>128</v>
      </c>
      <c r="F158" s="27" t="s">
        <v>104</v>
      </c>
      <c r="G158" s="33" t="s">
        <v>104</v>
      </c>
      <c r="H158" s="33" t="s">
        <v>104</v>
      </c>
      <c r="I158" s="27" t="s">
        <v>84</v>
      </c>
      <c r="J158" s="29">
        <v>261600</v>
      </c>
      <c r="K158" s="29">
        <f t="shared" si="7"/>
        <v>261600</v>
      </c>
      <c r="L158" s="30"/>
      <c r="M158" s="30" t="s">
        <v>159</v>
      </c>
    </row>
    <row r="159" spans="1:13" s="41" customFormat="1" ht="42">
      <c r="A159" s="26">
        <v>5020201002</v>
      </c>
      <c r="B159" s="37" t="s">
        <v>96</v>
      </c>
      <c r="C159" s="26" t="s">
        <v>140</v>
      </c>
      <c r="D159" s="27" t="s">
        <v>43</v>
      </c>
      <c r="E159" s="26" t="s">
        <v>122</v>
      </c>
      <c r="F159" s="27" t="s">
        <v>104</v>
      </c>
      <c r="G159" s="33" t="s">
        <v>104</v>
      </c>
      <c r="H159" s="33" t="s">
        <v>104</v>
      </c>
      <c r="I159" s="27" t="s">
        <v>84</v>
      </c>
      <c r="J159" s="29">
        <v>1430400</v>
      </c>
      <c r="K159" s="29">
        <f t="shared" si="7"/>
        <v>1430400</v>
      </c>
      <c r="L159" s="30"/>
      <c r="M159" s="30" t="s">
        <v>159</v>
      </c>
    </row>
    <row r="160" spans="1:13" s="41" customFormat="1" ht="42">
      <c r="A160" s="26">
        <v>5020201002</v>
      </c>
      <c r="B160" s="37" t="s">
        <v>96</v>
      </c>
      <c r="C160" s="26" t="s">
        <v>144</v>
      </c>
      <c r="D160" s="27" t="s">
        <v>43</v>
      </c>
      <c r="E160" s="26" t="s">
        <v>145</v>
      </c>
      <c r="F160" s="27" t="s">
        <v>104</v>
      </c>
      <c r="G160" s="33" t="s">
        <v>104</v>
      </c>
      <c r="H160" s="33" t="s">
        <v>104</v>
      </c>
      <c r="I160" s="27" t="s">
        <v>84</v>
      </c>
      <c r="J160" s="29">
        <v>240000</v>
      </c>
      <c r="K160" s="29">
        <f t="shared" si="7"/>
        <v>240000</v>
      </c>
      <c r="L160" s="30"/>
      <c r="M160" s="30" t="s">
        <v>159</v>
      </c>
    </row>
    <row r="161" spans="1:13" s="41" customFormat="1" ht="42">
      <c r="A161" s="26">
        <v>5020201002</v>
      </c>
      <c r="B161" s="37" t="s">
        <v>96</v>
      </c>
      <c r="C161" s="26" t="s">
        <v>151</v>
      </c>
      <c r="D161" s="27" t="s">
        <v>43</v>
      </c>
      <c r="E161" s="26" t="s">
        <v>121</v>
      </c>
      <c r="F161" s="27" t="s">
        <v>104</v>
      </c>
      <c r="G161" s="33" t="s">
        <v>104</v>
      </c>
      <c r="H161" s="33" t="s">
        <v>104</v>
      </c>
      <c r="I161" s="27" t="s">
        <v>84</v>
      </c>
      <c r="J161" s="29">
        <f>436800+452400+452400+780000+260000+23400</f>
        <v>2405000</v>
      </c>
      <c r="K161" s="29">
        <f t="shared" si="7"/>
        <v>2405000</v>
      </c>
      <c r="L161" s="30"/>
      <c r="M161" s="30" t="s">
        <v>159</v>
      </c>
    </row>
    <row r="162" spans="1:13" s="41" customFormat="1" ht="42">
      <c r="A162" s="26">
        <v>5020201002</v>
      </c>
      <c r="B162" s="37" t="s">
        <v>96</v>
      </c>
      <c r="C162" s="26" t="s">
        <v>175</v>
      </c>
      <c r="D162" s="27" t="s">
        <v>43</v>
      </c>
      <c r="E162" s="26" t="s">
        <v>176</v>
      </c>
      <c r="F162" s="27" t="s">
        <v>104</v>
      </c>
      <c r="G162" s="33" t="s">
        <v>104</v>
      </c>
      <c r="H162" s="33" t="s">
        <v>104</v>
      </c>
      <c r="I162" s="27" t="s">
        <v>84</v>
      </c>
      <c r="J162" s="29">
        <f>420000+80000+880000</f>
        <v>1380000</v>
      </c>
      <c r="K162" s="29">
        <f t="shared" si="7"/>
        <v>1380000</v>
      </c>
      <c r="L162" s="30"/>
      <c r="M162" s="30" t="s">
        <v>377</v>
      </c>
    </row>
    <row r="163" spans="1:13" s="41" customFormat="1" ht="42">
      <c r="A163" s="26">
        <v>5020201002</v>
      </c>
      <c r="B163" s="37" t="s">
        <v>96</v>
      </c>
      <c r="C163" s="26" t="s">
        <v>185</v>
      </c>
      <c r="D163" s="27" t="s">
        <v>43</v>
      </c>
      <c r="E163" s="26" t="s">
        <v>121</v>
      </c>
      <c r="F163" s="27" t="s">
        <v>104</v>
      </c>
      <c r="G163" s="33" t="s">
        <v>104</v>
      </c>
      <c r="H163" s="33" t="s">
        <v>104</v>
      </c>
      <c r="I163" s="27" t="s">
        <v>84</v>
      </c>
      <c r="J163" s="29">
        <v>226800</v>
      </c>
      <c r="K163" s="29">
        <f t="shared" si="7"/>
        <v>226800</v>
      </c>
      <c r="L163" s="30"/>
      <c r="M163" s="30" t="s">
        <v>159</v>
      </c>
    </row>
    <row r="164" spans="1:13" s="41" customFormat="1" ht="42">
      <c r="A164" s="26">
        <v>5020201002</v>
      </c>
      <c r="B164" s="37" t="s">
        <v>96</v>
      </c>
      <c r="C164" s="26" t="s">
        <v>190</v>
      </c>
      <c r="D164" s="27" t="s">
        <v>43</v>
      </c>
      <c r="E164" s="26" t="s">
        <v>133</v>
      </c>
      <c r="F164" s="27" t="s">
        <v>104</v>
      </c>
      <c r="G164" s="33" t="s">
        <v>104</v>
      </c>
      <c r="H164" s="33" t="s">
        <v>104</v>
      </c>
      <c r="I164" s="27" t="s">
        <v>84</v>
      </c>
      <c r="J164" s="29">
        <f>132000+350000+273000+312500+253000+125000+195000</f>
        <v>1640500</v>
      </c>
      <c r="K164" s="29">
        <f t="shared" si="7"/>
        <v>1640500</v>
      </c>
      <c r="L164" s="30"/>
      <c r="M164" s="30" t="s">
        <v>159</v>
      </c>
    </row>
    <row r="165" spans="1:13" s="41" customFormat="1" ht="42">
      <c r="A165" s="26">
        <v>5020201002</v>
      </c>
      <c r="B165" s="37" t="s">
        <v>96</v>
      </c>
      <c r="C165" s="26" t="s">
        <v>198</v>
      </c>
      <c r="D165" s="27" t="s">
        <v>43</v>
      </c>
      <c r="E165" s="26" t="s">
        <v>123</v>
      </c>
      <c r="F165" s="27" t="s">
        <v>104</v>
      </c>
      <c r="G165" s="33" t="s">
        <v>104</v>
      </c>
      <c r="H165" s="33" t="s">
        <v>104</v>
      </c>
      <c r="I165" s="27" t="s">
        <v>84</v>
      </c>
      <c r="J165" s="29">
        <f>550000+210000+325000</f>
        <v>1085000</v>
      </c>
      <c r="K165" s="29">
        <f t="shared" ref="K165:K177" si="9">J165</f>
        <v>1085000</v>
      </c>
      <c r="L165" s="30"/>
      <c r="M165" s="30" t="s">
        <v>155</v>
      </c>
    </row>
    <row r="166" spans="1:13" s="41" customFormat="1" ht="42">
      <c r="A166" s="26">
        <v>5020201002</v>
      </c>
      <c r="B166" s="37" t="s">
        <v>96</v>
      </c>
      <c r="C166" s="26" t="s">
        <v>208</v>
      </c>
      <c r="D166" s="27" t="s">
        <v>43</v>
      </c>
      <c r="E166" s="26" t="s">
        <v>176</v>
      </c>
      <c r="F166" s="27" t="s">
        <v>104</v>
      </c>
      <c r="G166" s="33" t="s">
        <v>104</v>
      </c>
      <c r="H166" s="33" t="s">
        <v>104</v>
      </c>
      <c r="I166" s="27" t="s">
        <v>84</v>
      </c>
      <c r="J166" s="29">
        <f>132000</f>
        <v>132000</v>
      </c>
      <c r="K166" s="29">
        <f t="shared" si="9"/>
        <v>132000</v>
      </c>
      <c r="L166" s="30"/>
      <c r="M166" s="30" t="s">
        <v>209</v>
      </c>
    </row>
    <row r="167" spans="1:13" s="41" customFormat="1" ht="42">
      <c r="A167" s="26">
        <v>5020201002</v>
      </c>
      <c r="B167" s="37" t="s">
        <v>96</v>
      </c>
      <c r="C167" s="26" t="s">
        <v>212</v>
      </c>
      <c r="D167" s="27" t="s">
        <v>43</v>
      </c>
      <c r="E167" s="26" t="s">
        <v>176</v>
      </c>
      <c r="F167" s="27" t="s">
        <v>104</v>
      </c>
      <c r="G167" s="33" t="s">
        <v>104</v>
      </c>
      <c r="H167" s="33" t="s">
        <v>104</v>
      </c>
      <c r="I167" s="27" t="s">
        <v>84</v>
      </c>
      <c r="J167" s="29">
        <f>998200+616000+308000+396000+308000+1122000+495000</f>
        <v>4243200</v>
      </c>
      <c r="K167" s="29">
        <f t="shared" si="9"/>
        <v>4243200</v>
      </c>
      <c r="L167" s="30"/>
      <c r="M167" s="30" t="s">
        <v>156</v>
      </c>
    </row>
    <row r="168" spans="1:13" s="41" customFormat="1" ht="42">
      <c r="A168" s="26">
        <v>5020201002</v>
      </c>
      <c r="B168" s="37" t="s">
        <v>96</v>
      </c>
      <c r="C168" s="26" t="s">
        <v>264</v>
      </c>
      <c r="D168" s="27" t="s">
        <v>43</v>
      </c>
      <c r="E168" s="26" t="s">
        <v>217</v>
      </c>
      <c r="F168" s="27" t="s">
        <v>104</v>
      </c>
      <c r="G168" s="33" t="s">
        <v>104</v>
      </c>
      <c r="H168" s="33" t="s">
        <v>104</v>
      </c>
      <c r="I168" s="27" t="s">
        <v>84</v>
      </c>
      <c r="J168" s="29">
        <f>46800+50000</f>
        <v>96800</v>
      </c>
      <c r="K168" s="29">
        <f t="shared" si="9"/>
        <v>96800</v>
      </c>
      <c r="L168" s="30"/>
      <c r="M168" s="30" t="s">
        <v>156</v>
      </c>
    </row>
    <row r="169" spans="1:13" s="41" customFormat="1" ht="56">
      <c r="A169" s="26">
        <v>5020201002</v>
      </c>
      <c r="B169" s="37" t="s">
        <v>96</v>
      </c>
      <c r="C169" s="26" t="s">
        <v>170</v>
      </c>
      <c r="D169" s="27" t="s">
        <v>43</v>
      </c>
      <c r="E169" s="26" t="s">
        <v>361</v>
      </c>
      <c r="F169" s="27" t="s">
        <v>104</v>
      </c>
      <c r="G169" s="33" t="s">
        <v>104</v>
      </c>
      <c r="H169" s="33" t="s">
        <v>104</v>
      </c>
      <c r="I169" s="27" t="s">
        <v>84</v>
      </c>
      <c r="J169" s="29">
        <f>SUM(750000+510000)</f>
        <v>1260000</v>
      </c>
      <c r="K169" s="29">
        <f t="shared" si="9"/>
        <v>1260000</v>
      </c>
      <c r="L169" s="30"/>
      <c r="M169" s="30" t="s">
        <v>156</v>
      </c>
    </row>
    <row r="170" spans="1:13" s="41" customFormat="1" ht="42">
      <c r="A170" s="26">
        <v>5020201002</v>
      </c>
      <c r="B170" s="37" t="s">
        <v>96</v>
      </c>
      <c r="C170" s="26" t="s">
        <v>220</v>
      </c>
      <c r="D170" s="27" t="s">
        <v>43</v>
      </c>
      <c r="E170" s="26" t="s">
        <v>224</v>
      </c>
      <c r="F170" s="27" t="s">
        <v>104</v>
      </c>
      <c r="G170" s="33" t="s">
        <v>104</v>
      </c>
      <c r="H170" s="33" t="s">
        <v>104</v>
      </c>
      <c r="I170" s="27" t="s">
        <v>84</v>
      </c>
      <c r="J170" s="29">
        <f>91000+132000</f>
        <v>223000</v>
      </c>
      <c r="K170" s="29">
        <f t="shared" si="9"/>
        <v>223000</v>
      </c>
      <c r="L170" s="30"/>
      <c r="M170" s="30" t="s">
        <v>158</v>
      </c>
    </row>
    <row r="171" spans="1:13" s="41" customFormat="1" ht="42">
      <c r="A171" s="26">
        <v>5020201002</v>
      </c>
      <c r="B171" s="37" t="s">
        <v>96</v>
      </c>
      <c r="C171" s="26" t="s">
        <v>227</v>
      </c>
      <c r="D171" s="27" t="s">
        <v>43</v>
      </c>
      <c r="E171" s="26" t="s">
        <v>228</v>
      </c>
      <c r="F171" s="27" t="s">
        <v>104</v>
      </c>
      <c r="G171" s="33" t="s">
        <v>104</v>
      </c>
      <c r="H171" s="33" t="s">
        <v>104</v>
      </c>
      <c r="I171" s="27" t="s">
        <v>84</v>
      </c>
      <c r="J171" s="29">
        <v>394200</v>
      </c>
      <c r="K171" s="29">
        <f t="shared" si="9"/>
        <v>394200</v>
      </c>
      <c r="L171" s="30"/>
      <c r="M171" s="30" t="s">
        <v>157</v>
      </c>
    </row>
    <row r="172" spans="1:13" s="41" customFormat="1" ht="42">
      <c r="A172" s="26">
        <v>5020201002</v>
      </c>
      <c r="B172" s="37" t="s">
        <v>96</v>
      </c>
      <c r="C172" s="26" t="s">
        <v>225</v>
      </c>
      <c r="D172" s="27" t="s">
        <v>43</v>
      </c>
      <c r="E172" s="26" t="s">
        <v>127</v>
      </c>
      <c r="F172" s="27" t="s">
        <v>104</v>
      </c>
      <c r="G172" s="33" t="s">
        <v>104</v>
      </c>
      <c r="H172" s="33" t="s">
        <v>104</v>
      </c>
      <c r="I172" s="27" t="s">
        <v>84</v>
      </c>
      <c r="J172" s="29">
        <f>39000+78000+39000+39000+39000+39000+39000</f>
        <v>312000</v>
      </c>
      <c r="K172" s="29">
        <f t="shared" si="9"/>
        <v>312000</v>
      </c>
      <c r="L172" s="30"/>
      <c r="M172" s="30" t="s">
        <v>158</v>
      </c>
    </row>
    <row r="173" spans="1:13" s="41" customFormat="1" ht="42">
      <c r="A173" s="26">
        <v>5020201002</v>
      </c>
      <c r="B173" s="37" t="s">
        <v>96</v>
      </c>
      <c r="C173" s="26" t="s">
        <v>235</v>
      </c>
      <c r="D173" s="27" t="s">
        <v>43</v>
      </c>
      <c r="E173" s="26" t="s">
        <v>236</v>
      </c>
      <c r="F173" s="27" t="s">
        <v>104</v>
      </c>
      <c r="G173" s="33" t="s">
        <v>104</v>
      </c>
      <c r="H173" s="33" t="s">
        <v>104</v>
      </c>
      <c r="I173" s="27" t="s">
        <v>84</v>
      </c>
      <c r="J173" s="29">
        <v>5345800</v>
      </c>
      <c r="K173" s="29">
        <f t="shared" si="9"/>
        <v>5345800</v>
      </c>
      <c r="L173" s="30"/>
      <c r="M173" s="30" t="s">
        <v>242</v>
      </c>
    </row>
    <row r="174" spans="1:13" s="41" customFormat="1" ht="42">
      <c r="A174" s="26">
        <v>5020201002</v>
      </c>
      <c r="B174" s="37" t="s">
        <v>96</v>
      </c>
      <c r="C174" s="26" t="s">
        <v>240</v>
      </c>
      <c r="D174" s="27" t="s">
        <v>43</v>
      </c>
      <c r="E174" s="26" t="s">
        <v>241</v>
      </c>
      <c r="F174" s="27" t="s">
        <v>104</v>
      </c>
      <c r="G174" s="33" t="s">
        <v>104</v>
      </c>
      <c r="H174" s="33" t="s">
        <v>104</v>
      </c>
      <c r="I174" s="27" t="s">
        <v>84</v>
      </c>
      <c r="J174" s="29">
        <v>50000</v>
      </c>
      <c r="K174" s="29">
        <f t="shared" si="9"/>
        <v>50000</v>
      </c>
      <c r="L174" s="30"/>
      <c r="M174" s="30" t="s">
        <v>248</v>
      </c>
    </row>
    <row r="175" spans="1:13" s="41" customFormat="1" ht="42">
      <c r="A175" s="26">
        <v>5020201002</v>
      </c>
      <c r="B175" s="37" t="s">
        <v>96</v>
      </c>
      <c r="C175" s="26" t="s">
        <v>247</v>
      </c>
      <c r="D175" s="27" t="s">
        <v>43</v>
      </c>
      <c r="E175" s="26" t="s">
        <v>176</v>
      </c>
      <c r="F175" s="27" t="s">
        <v>104</v>
      </c>
      <c r="G175" s="33" t="s">
        <v>104</v>
      </c>
      <c r="H175" s="33" t="s">
        <v>104</v>
      </c>
      <c r="I175" s="27" t="s">
        <v>84</v>
      </c>
      <c r="J175" s="29">
        <v>75000</v>
      </c>
      <c r="K175" s="29">
        <f t="shared" si="9"/>
        <v>75000</v>
      </c>
      <c r="L175" s="30"/>
      <c r="M175" s="30" t="s">
        <v>249</v>
      </c>
    </row>
    <row r="176" spans="1:13" s="41" customFormat="1" ht="42">
      <c r="A176" s="26">
        <v>5020201002</v>
      </c>
      <c r="B176" s="37" t="s">
        <v>96</v>
      </c>
      <c r="C176" s="26" t="s">
        <v>233</v>
      </c>
      <c r="D176" s="27" t="s">
        <v>43</v>
      </c>
      <c r="E176" s="26" t="s">
        <v>149</v>
      </c>
      <c r="F176" s="27" t="s">
        <v>104</v>
      </c>
      <c r="G176" s="33" t="s">
        <v>104</v>
      </c>
      <c r="H176" s="33" t="s">
        <v>104</v>
      </c>
      <c r="I176" s="27" t="s">
        <v>84</v>
      </c>
      <c r="J176" s="29">
        <v>480000</v>
      </c>
      <c r="K176" s="29">
        <f t="shared" si="9"/>
        <v>480000</v>
      </c>
      <c r="L176" s="30"/>
      <c r="M176" s="30" t="s">
        <v>252</v>
      </c>
    </row>
    <row r="177" spans="1:13" s="41" customFormat="1" ht="42">
      <c r="A177" s="26">
        <v>5020201002</v>
      </c>
      <c r="B177" s="37" t="s">
        <v>96</v>
      </c>
      <c r="C177" s="26" t="s">
        <v>233</v>
      </c>
      <c r="D177" s="27" t="s">
        <v>43</v>
      </c>
      <c r="E177" s="26" t="s">
        <v>176</v>
      </c>
      <c r="F177" s="27" t="s">
        <v>104</v>
      </c>
      <c r="G177" s="33" t="s">
        <v>104</v>
      </c>
      <c r="H177" s="33" t="s">
        <v>104</v>
      </c>
      <c r="I177" s="27" t="s">
        <v>84</v>
      </c>
      <c r="J177" s="29">
        <v>830000</v>
      </c>
      <c r="K177" s="29">
        <f t="shared" si="9"/>
        <v>830000</v>
      </c>
      <c r="L177" s="30"/>
      <c r="M177" s="30" t="s">
        <v>252</v>
      </c>
    </row>
    <row r="178" spans="1:13" s="41" customFormat="1" ht="42">
      <c r="A178" s="26">
        <v>5020201002</v>
      </c>
      <c r="B178" s="37" t="s">
        <v>96</v>
      </c>
      <c r="C178" s="26" t="s">
        <v>255</v>
      </c>
      <c r="D178" s="27" t="s">
        <v>43</v>
      </c>
      <c r="E178" s="26" t="s">
        <v>128</v>
      </c>
      <c r="F178" s="27" t="s">
        <v>104</v>
      </c>
      <c r="G178" s="33" t="s">
        <v>104</v>
      </c>
      <c r="H178" s="33" t="s">
        <v>104</v>
      </c>
      <c r="I178" s="27" t="s">
        <v>84</v>
      </c>
      <c r="J178" s="87">
        <v>144000</v>
      </c>
      <c r="K178" s="86">
        <v>144000</v>
      </c>
      <c r="L178" s="30"/>
      <c r="M178" s="30" t="s">
        <v>256</v>
      </c>
    </row>
    <row r="179" spans="1:13" s="41" customFormat="1" ht="42">
      <c r="A179" s="26">
        <v>5020201002</v>
      </c>
      <c r="B179" s="37" t="s">
        <v>96</v>
      </c>
      <c r="C179" s="26" t="s">
        <v>285</v>
      </c>
      <c r="D179" s="70" t="s">
        <v>43</v>
      </c>
      <c r="E179" s="92">
        <v>45231</v>
      </c>
      <c r="F179" s="71" t="s">
        <v>104</v>
      </c>
      <c r="G179" s="92" t="s">
        <v>104</v>
      </c>
      <c r="H179" s="92" t="s">
        <v>104</v>
      </c>
      <c r="I179" s="71" t="s">
        <v>84</v>
      </c>
      <c r="J179" s="87">
        <v>572000</v>
      </c>
      <c r="K179" s="86">
        <v>572000</v>
      </c>
      <c r="L179" s="30"/>
      <c r="M179" s="62" t="s">
        <v>289</v>
      </c>
    </row>
    <row r="180" spans="1:13" s="41" customFormat="1" ht="56">
      <c r="A180" s="26">
        <v>5020201002</v>
      </c>
      <c r="B180" s="37" t="s">
        <v>96</v>
      </c>
      <c r="C180" s="26" t="s">
        <v>285</v>
      </c>
      <c r="D180" s="70" t="s">
        <v>43</v>
      </c>
      <c r="E180" s="92">
        <v>45231</v>
      </c>
      <c r="F180" s="71" t="s">
        <v>104</v>
      </c>
      <c r="G180" s="92" t="s">
        <v>104</v>
      </c>
      <c r="H180" s="92" t="s">
        <v>104</v>
      </c>
      <c r="I180" s="71" t="s">
        <v>84</v>
      </c>
      <c r="J180" s="29">
        <v>546000</v>
      </c>
      <c r="K180" s="29">
        <v>546000</v>
      </c>
      <c r="L180" s="30"/>
      <c r="M180" s="71" t="s">
        <v>290</v>
      </c>
    </row>
    <row r="181" spans="1:13" s="41" customFormat="1" ht="42">
      <c r="A181" s="26">
        <v>5020201002</v>
      </c>
      <c r="B181" s="37" t="s">
        <v>96</v>
      </c>
      <c r="C181" s="26" t="s">
        <v>232</v>
      </c>
      <c r="D181" s="70" t="s">
        <v>43</v>
      </c>
      <c r="E181" s="119" t="s">
        <v>303</v>
      </c>
      <c r="F181" s="71" t="s">
        <v>104</v>
      </c>
      <c r="G181" s="92" t="s">
        <v>104</v>
      </c>
      <c r="H181" s="92" t="s">
        <v>104</v>
      </c>
      <c r="I181" s="120" t="s">
        <v>84</v>
      </c>
      <c r="J181" s="29">
        <v>132600</v>
      </c>
      <c r="K181" s="29">
        <f t="shared" si="7"/>
        <v>132600</v>
      </c>
      <c r="L181" s="30"/>
      <c r="M181" s="30" t="s">
        <v>338</v>
      </c>
    </row>
    <row r="182" spans="1:13" s="41" customFormat="1" ht="42">
      <c r="A182" s="26">
        <v>5020201002</v>
      </c>
      <c r="B182" s="37" t="s">
        <v>96</v>
      </c>
      <c r="C182" s="26" t="s">
        <v>343</v>
      </c>
      <c r="D182" s="70" t="s">
        <v>43</v>
      </c>
      <c r="E182" s="119" t="s">
        <v>349</v>
      </c>
      <c r="F182" s="71" t="s">
        <v>104</v>
      </c>
      <c r="G182" s="92" t="s">
        <v>104</v>
      </c>
      <c r="H182" s="92" t="s">
        <v>104</v>
      </c>
      <c r="I182" s="120" t="s">
        <v>84</v>
      </c>
      <c r="J182" s="29">
        <f>SUM(83200+4568000)</f>
        <v>4651200</v>
      </c>
      <c r="K182" s="29">
        <f>J182</f>
        <v>4651200</v>
      </c>
      <c r="L182" s="30"/>
      <c r="M182" s="30" t="s">
        <v>351</v>
      </c>
    </row>
    <row r="183" spans="1:13" s="41" customFormat="1" ht="42">
      <c r="A183" s="26">
        <v>5020201002</v>
      </c>
      <c r="B183" s="37" t="s">
        <v>96</v>
      </c>
      <c r="C183" s="26" t="s">
        <v>366</v>
      </c>
      <c r="D183" s="70" t="s">
        <v>43</v>
      </c>
      <c r="E183" s="121" t="s">
        <v>368</v>
      </c>
      <c r="F183" s="133" t="s">
        <v>104</v>
      </c>
      <c r="G183" s="134" t="s">
        <v>104</v>
      </c>
      <c r="H183" s="134" t="s">
        <v>104</v>
      </c>
      <c r="I183" s="120" t="s">
        <v>84</v>
      </c>
      <c r="J183" s="29">
        <f>396000+943200</f>
        <v>1339200</v>
      </c>
      <c r="K183" s="29">
        <f>J183</f>
        <v>1339200</v>
      </c>
      <c r="L183" s="30"/>
      <c r="M183" s="30" t="s">
        <v>367</v>
      </c>
    </row>
    <row r="184" spans="1:13" s="41" customFormat="1" ht="28">
      <c r="A184" s="26">
        <v>5029904000</v>
      </c>
      <c r="B184" s="25" t="s">
        <v>108</v>
      </c>
      <c r="C184" s="26" t="s">
        <v>105</v>
      </c>
      <c r="D184" s="27" t="s">
        <v>43</v>
      </c>
      <c r="E184" s="26" t="s">
        <v>116</v>
      </c>
      <c r="F184" s="27" t="s">
        <v>104</v>
      </c>
      <c r="G184" s="33" t="s">
        <v>104</v>
      </c>
      <c r="H184" s="33" t="s">
        <v>104</v>
      </c>
      <c r="I184" s="27" t="s">
        <v>84</v>
      </c>
      <c r="J184" s="29">
        <v>604000</v>
      </c>
      <c r="K184" s="29">
        <f t="shared" si="7"/>
        <v>604000</v>
      </c>
      <c r="L184" s="30"/>
      <c r="M184" s="30" t="s">
        <v>195</v>
      </c>
    </row>
    <row r="185" spans="1:13" s="41" customFormat="1" ht="42">
      <c r="A185" s="26">
        <v>5029904000</v>
      </c>
      <c r="B185" s="26" t="s">
        <v>108</v>
      </c>
      <c r="C185" s="26" t="s">
        <v>109</v>
      </c>
      <c r="D185" s="27" t="s">
        <v>43</v>
      </c>
      <c r="E185" s="26" t="s">
        <v>115</v>
      </c>
      <c r="F185" s="27" t="s">
        <v>104</v>
      </c>
      <c r="G185" s="33" t="s">
        <v>104</v>
      </c>
      <c r="H185" s="33" t="s">
        <v>104</v>
      </c>
      <c r="I185" s="27" t="s">
        <v>84</v>
      </c>
      <c r="J185" s="29">
        <v>840000</v>
      </c>
      <c r="K185" s="29">
        <f t="shared" ref="K185:K193" si="10">J185</f>
        <v>840000</v>
      </c>
      <c r="L185" s="30"/>
      <c r="M185" s="30" t="s">
        <v>195</v>
      </c>
    </row>
    <row r="186" spans="1:13" s="41" customFormat="1" ht="28">
      <c r="A186" s="26">
        <v>5029904000</v>
      </c>
      <c r="B186" s="26" t="s">
        <v>108</v>
      </c>
      <c r="C186" s="26" t="s">
        <v>140</v>
      </c>
      <c r="D186" s="27" t="s">
        <v>43</v>
      </c>
      <c r="E186" s="26" t="s">
        <v>122</v>
      </c>
      <c r="F186" s="27" t="s">
        <v>104</v>
      </c>
      <c r="G186" s="33" t="s">
        <v>104</v>
      </c>
      <c r="H186" s="33" t="s">
        <v>104</v>
      </c>
      <c r="I186" s="27" t="s">
        <v>84</v>
      </c>
      <c r="J186" s="29">
        <v>900000</v>
      </c>
      <c r="K186" s="29">
        <f t="shared" si="10"/>
        <v>900000</v>
      </c>
      <c r="L186" s="30"/>
      <c r="M186" s="30" t="s">
        <v>195</v>
      </c>
    </row>
    <row r="187" spans="1:13" s="41" customFormat="1" ht="42">
      <c r="A187" s="26">
        <v>5029904000</v>
      </c>
      <c r="B187" s="26" t="s">
        <v>108</v>
      </c>
      <c r="C187" s="26" t="s">
        <v>144</v>
      </c>
      <c r="D187" s="27" t="s">
        <v>43</v>
      </c>
      <c r="E187" s="26" t="s">
        <v>146</v>
      </c>
      <c r="F187" s="27" t="s">
        <v>104</v>
      </c>
      <c r="G187" s="33" t="s">
        <v>104</v>
      </c>
      <c r="H187" s="33" t="s">
        <v>104</v>
      </c>
      <c r="I187" s="27" t="s">
        <v>84</v>
      </c>
      <c r="J187" s="29">
        <v>120000</v>
      </c>
      <c r="K187" s="29">
        <f t="shared" si="10"/>
        <v>120000</v>
      </c>
      <c r="L187" s="30"/>
      <c r="M187" s="30" t="s">
        <v>195</v>
      </c>
    </row>
    <row r="188" spans="1:13" s="41" customFormat="1" ht="42">
      <c r="A188" s="26">
        <v>5029904000</v>
      </c>
      <c r="B188" s="26" t="s">
        <v>108</v>
      </c>
      <c r="C188" s="26" t="s">
        <v>148</v>
      </c>
      <c r="D188" s="27" t="s">
        <v>43</v>
      </c>
      <c r="E188" s="26" t="s">
        <v>149</v>
      </c>
      <c r="F188" s="27" t="s">
        <v>104</v>
      </c>
      <c r="G188" s="33" t="s">
        <v>104</v>
      </c>
      <c r="H188" s="33" t="s">
        <v>104</v>
      </c>
      <c r="I188" s="27" t="s">
        <v>84</v>
      </c>
      <c r="J188" s="29">
        <v>450000</v>
      </c>
      <c r="K188" s="29">
        <f t="shared" si="10"/>
        <v>450000</v>
      </c>
      <c r="L188" s="30"/>
      <c r="M188" s="30" t="s">
        <v>194</v>
      </c>
    </row>
    <row r="189" spans="1:13" s="41" customFormat="1" ht="28">
      <c r="A189" s="26">
        <v>5029904000</v>
      </c>
      <c r="B189" s="26" t="s">
        <v>108</v>
      </c>
      <c r="C189" s="26" t="s">
        <v>151</v>
      </c>
      <c r="D189" s="27" t="s">
        <v>43</v>
      </c>
      <c r="E189" s="26" t="s">
        <v>154</v>
      </c>
      <c r="F189" s="27" t="s">
        <v>104</v>
      </c>
      <c r="G189" s="33" t="s">
        <v>104</v>
      </c>
      <c r="H189" s="33" t="s">
        <v>104</v>
      </c>
      <c r="I189" s="27" t="s">
        <v>84</v>
      </c>
      <c r="J189" s="29">
        <v>50000</v>
      </c>
      <c r="K189" s="29">
        <f t="shared" si="10"/>
        <v>50000</v>
      </c>
      <c r="L189" s="30"/>
      <c r="M189" s="30" t="s">
        <v>195</v>
      </c>
    </row>
    <row r="190" spans="1:13" s="41" customFormat="1" ht="28">
      <c r="A190" s="26">
        <v>5029904000</v>
      </c>
      <c r="B190" s="26" t="s">
        <v>108</v>
      </c>
      <c r="C190" s="26" t="s">
        <v>175</v>
      </c>
      <c r="D190" s="27" t="s">
        <v>43</v>
      </c>
      <c r="E190" s="26" t="s">
        <v>116</v>
      </c>
      <c r="F190" s="27" t="s">
        <v>104</v>
      </c>
      <c r="G190" s="33" t="s">
        <v>104</v>
      </c>
      <c r="H190" s="33" t="s">
        <v>104</v>
      </c>
      <c r="I190" s="27" t="s">
        <v>84</v>
      </c>
      <c r="J190" s="29">
        <v>1021500</v>
      </c>
      <c r="K190" s="29">
        <f t="shared" si="10"/>
        <v>1021500</v>
      </c>
      <c r="L190" s="30"/>
      <c r="M190" s="30" t="s">
        <v>193</v>
      </c>
    </row>
    <row r="191" spans="1:13" s="41" customFormat="1" ht="28">
      <c r="A191" s="26">
        <v>5029904000</v>
      </c>
      <c r="B191" s="26" t="s">
        <v>108</v>
      </c>
      <c r="C191" s="26" t="s">
        <v>190</v>
      </c>
      <c r="D191" s="27" t="s">
        <v>43</v>
      </c>
      <c r="E191" s="26" t="s">
        <v>138</v>
      </c>
      <c r="F191" s="27" t="s">
        <v>104</v>
      </c>
      <c r="G191" s="33" t="s">
        <v>104</v>
      </c>
      <c r="H191" s="33" t="s">
        <v>104</v>
      </c>
      <c r="I191" s="27" t="s">
        <v>84</v>
      </c>
      <c r="J191" s="29">
        <f>360000+180000</f>
        <v>540000</v>
      </c>
      <c r="K191" s="29">
        <f t="shared" si="10"/>
        <v>540000</v>
      </c>
      <c r="L191" s="30"/>
      <c r="M191" s="30" t="s">
        <v>195</v>
      </c>
    </row>
    <row r="192" spans="1:13" s="41" customFormat="1" ht="28">
      <c r="A192" s="26">
        <v>5029904000</v>
      </c>
      <c r="B192" s="26" t="s">
        <v>108</v>
      </c>
      <c r="C192" s="26" t="s">
        <v>198</v>
      </c>
      <c r="D192" s="27" t="s">
        <v>43</v>
      </c>
      <c r="E192" s="26" t="s">
        <v>122</v>
      </c>
      <c r="F192" s="27" t="s">
        <v>104</v>
      </c>
      <c r="G192" s="33" t="s">
        <v>104</v>
      </c>
      <c r="H192" s="33" t="s">
        <v>104</v>
      </c>
      <c r="I192" s="27" t="s">
        <v>84</v>
      </c>
      <c r="J192" s="29">
        <v>450000</v>
      </c>
      <c r="K192" s="29">
        <f t="shared" si="10"/>
        <v>450000</v>
      </c>
      <c r="L192" s="30"/>
      <c r="M192" s="30" t="s">
        <v>195</v>
      </c>
    </row>
    <row r="193" spans="1:13" s="41" customFormat="1" ht="28">
      <c r="A193" s="26">
        <v>5029904000</v>
      </c>
      <c r="B193" s="26" t="s">
        <v>108</v>
      </c>
      <c r="C193" s="26" t="s">
        <v>212</v>
      </c>
      <c r="D193" s="27" t="s">
        <v>43</v>
      </c>
      <c r="E193" s="26" t="s">
        <v>172</v>
      </c>
      <c r="F193" s="33" t="s">
        <v>104</v>
      </c>
      <c r="G193" s="33" t="s">
        <v>104</v>
      </c>
      <c r="H193" s="33" t="s">
        <v>104</v>
      </c>
      <c r="I193" s="27" t="s">
        <v>84</v>
      </c>
      <c r="J193" s="29">
        <v>1440000</v>
      </c>
      <c r="K193" s="29">
        <f t="shared" si="10"/>
        <v>1440000</v>
      </c>
      <c r="L193" s="30"/>
      <c r="M193" s="30" t="s">
        <v>194</v>
      </c>
    </row>
    <row r="194" spans="1:13" s="41" customFormat="1" ht="42">
      <c r="A194" s="26">
        <v>5029904000</v>
      </c>
      <c r="B194" s="26" t="s">
        <v>108</v>
      </c>
      <c r="C194" s="26" t="s">
        <v>235</v>
      </c>
      <c r="D194" s="27" t="s">
        <v>43</v>
      </c>
      <c r="E194" s="26" t="s">
        <v>127</v>
      </c>
      <c r="F194" s="33" t="s">
        <v>104</v>
      </c>
      <c r="G194" s="33" t="s">
        <v>104</v>
      </c>
      <c r="H194" s="33" t="s">
        <v>104</v>
      </c>
      <c r="I194" s="27" t="s">
        <v>84</v>
      </c>
      <c r="J194" s="29">
        <v>400075</v>
      </c>
      <c r="K194" s="29">
        <f t="shared" si="7"/>
        <v>400075</v>
      </c>
      <c r="L194" s="30"/>
      <c r="M194" s="30" t="s">
        <v>195</v>
      </c>
    </row>
    <row r="195" spans="1:13" s="41" customFormat="1" ht="28">
      <c r="A195" s="26">
        <v>5029904000</v>
      </c>
      <c r="B195" s="26" t="s">
        <v>108</v>
      </c>
      <c r="C195" s="26" t="s">
        <v>360</v>
      </c>
      <c r="D195" s="27" t="s">
        <v>43</v>
      </c>
      <c r="E195" s="79" t="s">
        <v>307</v>
      </c>
      <c r="F195" s="27" t="s">
        <v>104</v>
      </c>
      <c r="G195" s="33" t="s">
        <v>104</v>
      </c>
      <c r="H195" s="33" t="s">
        <v>104</v>
      </c>
      <c r="I195" s="27" t="s">
        <v>84</v>
      </c>
      <c r="J195" s="29">
        <f>SUM(174000+192000)</f>
        <v>366000</v>
      </c>
      <c r="K195" s="29">
        <f t="shared" si="7"/>
        <v>366000</v>
      </c>
      <c r="L195" s="30"/>
      <c r="M195" s="30" t="s">
        <v>195</v>
      </c>
    </row>
    <row r="196" spans="1:13" s="41" customFormat="1" ht="28">
      <c r="A196" s="26">
        <v>5029904000</v>
      </c>
      <c r="B196" s="26" t="s">
        <v>108</v>
      </c>
      <c r="C196" s="26" t="s">
        <v>355</v>
      </c>
      <c r="D196" s="27" t="s">
        <v>43</v>
      </c>
      <c r="E196" s="79" t="s">
        <v>310</v>
      </c>
      <c r="F196" s="33" t="s">
        <v>104</v>
      </c>
      <c r="G196" s="33" t="s">
        <v>104</v>
      </c>
      <c r="H196" s="33" t="s">
        <v>104</v>
      </c>
      <c r="I196" s="27" t="s">
        <v>84</v>
      </c>
      <c r="J196" s="29">
        <v>260000</v>
      </c>
      <c r="K196" s="29">
        <f t="shared" si="7"/>
        <v>260000</v>
      </c>
      <c r="L196" s="30"/>
      <c r="M196" s="30" t="s">
        <v>194</v>
      </c>
    </row>
    <row r="197" spans="1:13" s="41" customFormat="1">
      <c r="A197" s="26">
        <v>5029902000</v>
      </c>
      <c r="B197" s="25" t="s">
        <v>110</v>
      </c>
      <c r="C197" s="26" t="s">
        <v>109</v>
      </c>
      <c r="D197" s="27" t="s">
        <v>43</v>
      </c>
      <c r="E197" s="26" t="s">
        <v>106</v>
      </c>
      <c r="F197" s="27" t="s">
        <v>104</v>
      </c>
      <c r="G197" s="33" t="s">
        <v>104</v>
      </c>
      <c r="H197" s="33" t="s">
        <v>104</v>
      </c>
      <c r="I197" s="27" t="s">
        <v>84</v>
      </c>
      <c r="J197" s="29">
        <f>112500+150000+75000+106000</f>
        <v>443500</v>
      </c>
      <c r="K197" s="34">
        <f>J197</f>
        <v>443500</v>
      </c>
      <c r="L197" s="30"/>
      <c r="M197" s="30" t="s">
        <v>250</v>
      </c>
    </row>
    <row r="198" spans="1:13" s="41" customFormat="1" ht="28">
      <c r="A198" s="26">
        <v>5029902000</v>
      </c>
      <c r="B198" s="32" t="s">
        <v>110</v>
      </c>
      <c r="C198" s="32" t="s">
        <v>233</v>
      </c>
      <c r="D198" s="27" t="s">
        <v>30</v>
      </c>
      <c r="E198" s="26" t="s">
        <v>152</v>
      </c>
      <c r="F198" s="27" t="s">
        <v>104</v>
      </c>
      <c r="G198" s="33" t="s">
        <v>104</v>
      </c>
      <c r="H198" s="33" t="s">
        <v>104</v>
      </c>
      <c r="I198" s="27" t="s">
        <v>84</v>
      </c>
      <c r="J198" s="34">
        <v>1850000</v>
      </c>
      <c r="K198" s="29">
        <f t="shared" si="7"/>
        <v>1850000</v>
      </c>
      <c r="L198" s="30"/>
      <c r="M198" s="30" t="s">
        <v>164</v>
      </c>
    </row>
    <row r="199" spans="1:13" s="41" customFormat="1" ht="28">
      <c r="A199" s="26">
        <v>5029902000</v>
      </c>
      <c r="B199" s="26" t="s">
        <v>110</v>
      </c>
      <c r="C199" s="26" t="s">
        <v>105</v>
      </c>
      <c r="D199" s="27" t="s">
        <v>43</v>
      </c>
      <c r="E199" s="26" t="s">
        <v>138</v>
      </c>
      <c r="F199" s="27" t="s">
        <v>104</v>
      </c>
      <c r="G199" s="33" t="s">
        <v>104</v>
      </c>
      <c r="H199" s="33" t="s">
        <v>104</v>
      </c>
      <c r="I199" s="27" t="s">
        <v>84</v>
      </c>
      <c r="J199" s="29">
        <f>65650+59500+33800+105000+100000</f>
        <v>363950</v>
      </c>
      <c r="K199" s="29">
        <f t="shared" si="7"/>
        <v>363950</v>
      </c>
      <c r="L199" s="30"/>
      <c r="M199" s="30" t="s">
        <v>165</v>
      </c>
    </row>
    <row r="200" spans="1:13" s="41" customFormat="1" ht="42">
      <c r="A200" s="26">
        <v>5029902000</v>
      </c>
      <c r="B200" s="26" t="s">
        <v>110</v>
      </c>
      <c r="C200" s="26" t="s">
        <v>234</v>
      </c>
      <c r="D200" s="27" t="s">
        <v>43</v>
      </c>
      <c r="E200" s="26" t="s">
        <v>120</v>
      </c>
      <c r="F200" s="27" t="s">
        <v>104</v>
      </c>
      <c r="G200" s="33" t="s">
        <v>104</v>
      </c>
      <c r="H200" s="33" t="s">
        <v>104</v>
      </c>
      <c r="I200" s="27" t="s">
        <v>84</v>
      </c>
      <c r="J200" s="29">
        <f>24500+120000+37700+17000+50000+4000</f>
        <v>253200</v>
      </c>
      <c r="K200" s="29">
        <f t="shared" si="7"/>
        <v>253200</v>
      </c>
      <c r="L200" s="30"/>
      <c r="M200" s="30" t="s">
        <v>164</v>
      </c>
    </row>
    <row r="201" spans="1:13" s="41" customFormat="1" ht="28">
      <c r="A201" s="26">
        <v>5029902000</v>
      </c>
      <c r="B201" s="26" t="s">
        <v>110</v>
      </c>
      <c r="C201" s="26" t="s">
        <v>111</v>
      </c>
      <c r="D201" s="27" t="s">
        <v>43</v>
      </c>
      <c r="E201" s="26" t="s">
        <v>121</v>
      </c>
      <c r="F201" s="27" t="s">
        <v>104</v>
      </c>
      <c r="G201" s="33" t="s">
        <v>104</v>
      </c>
      <c r="H201" s="33" t="s">
        <v>104</v>
      </c>
      <c r="I201" s="27" t="s">
        <v>84</v>
      </c>
      <c r="J201" s="29">
        <f>69350</f>
        <v>69350</v>
      </c>
      <c r="K201" s="34">
        <f t="shared" si="7"/>
        <v>69350</v>
      </c>
      <c r="L201" s="30"/>
      <c r="M201" s="30" t="s">
        <v>163</v>
      </c>
    </row>
    <row r="202" spans="1:13" s="41" customFormat="1" ht="28">
      <c r="A202" s="26">
        <v>5029902000</v>
      </c>
      <c r="B202" s="32" t="s">
        <v>110</v>
      </c>
      <c r="C202" s="32" t="s">
        <v>125</v>
      </c>
      <c r="D202" s="27" t="s">
        <v>43</v>
      </c>
      <c r="E202" s="32" t="s">
        <v>122</v>
      </c>
      <c r="F202" s="27" t="s">
        <v>104</v>
      </c>
      <c r="G202" s="33" t="s">
        <v>104</v>
      </c>
      <c r="H202" s="33" t="s">
        <v>104</v>
      </c>
      <c r="I202" s="27" t="s">
        <v>84</v>
      </c>
      <c r="J202" s="34">
        <v>31850</v>
      </c>
      <c r="K202" s="34">
        <f t="shared" si="7"/>
        <v>31850</v>
      </c>
      <c r="L202" s="30"/>
      <c r="M202" s="30" t="s">
        <v>166</v>
      </c>
    </row>
    <row r="203" spans="1:13" s="41" customFormat="1" ht="28">
      <c r="A203" s="26">
        <v>5029902000</v>
      </c>
      <c r="B203" s="32" t="s">
        <v>110</v>
      </c>
      <c r="C203" s="32" t="s">
        <v>105</v>
      </c>
      <c r="D203" s="27" t="s">
        <v>43</v>
      </c>
      <c r="E203" s="32" t="s">
        <v>122</v>
      </c>
      <c r="F203" s="27" t="s">
        <v>104</v>
      </c>
      <c r="G203" s="33" t="s">
        <v>104</v>
      </c>
      <c r="H203" s="33" t="s">
        <v>104</v>
      </c>
      <c r="I203" s="27" t="s">
        <v>84</v>
      </c>
      <c r="J203" s="34">
        <f>158360+142868+240000+61250+702000</f>
        <v>1304478</v>
      </c>
      <c r="K203" s="34">
        <f t="shared" si="7"/>
        <v>1304478</v>
      </c>
      <c r="L203" s="30"/>
      <c r="M203" s="30" t="s">
        <v>162</v>
      </c>
    </row>
    <row r="204" spans="1:13" s="41" customFormat="1" ht="28">
      <c r="A204" s="26">
        <v>5029902000</v>
      </c>
      <c r="B204" s="32" t="s">
        <v>110</v>
      </c>
      <c r="C204" s="32" t="s">
        <v>140</v>
      </c>
      <c r="D204" s="27" t="s">
        <v>43</v>
      </c>
      <c r="E204" s="32" t="s">
        <v>122</v>
      </c>
      <c r="F204" s="27" t="s">
        <v>104</v>
      </c>
      <c r="G204" s="33" t="s">
        <v>104</v>
      </c>
      <c r="H204" s="33" t="s">
        <v>104</v>
      </c>
      <c r="I204" s="27" t="s">
        <v>84</v>
      </c>
      <c r="J204" s="34">
        <v>230600</v>
      </c>
      <c r="K204" s="34">
        <f t="shared" si="7"/>
        <v>230600</v>
      </c>
      <c r="L204" s="30"/>
      <c r="M204" s="30" t="s">
        <v>186</v>
      </c>
    </row>
    <row r="205" spans="1:13" s="41" customFormat="1" ht="28">
      <c r="A205" s="26">
        <v>5029902000</v>
      </c>
      <c r="B205" s="32" t="s">
        <v>110</v>
      </c>
      <c r="C205" s="32" t="s">
        <v>151</v>
      </c>
      <c r="D205" s="27" t="s">
        <v>43</v>
      </c>
      <c r="E205" s="32" t="s">
        <v>153</v>
      </c>
      <c r="F205" s="27" t="s">
        <v>104</v>
      </c>
      <c r="G205" s="33" t="s">
        <v>104</v>
      </c>
      <c r="H205" s="33" t="s">
        <v>104</v>
      </c>
      <c r="I205" s="27" t="s">
        <v>84</v>
      </c>
      <c r="J205" s="34">
        <f>54600+50000+104000+266000</f>
        <v>474600</v>
      </c>
      <c r="K205" s="34">
        <f t="shared" si="7"/>
        <v>474600</v>
      </c>
      <c r="L205" s="30"/>
      <c r="M205" s="30" t="s">
        <v>166</v>
      </c>
    </row>
    <row r="206" spans="1:13" s="41" customFormat="1" ht="28">
      <c r="A206" s="26">
        <v>5029902000</v>
      </c>
      <c r="B206" s="32" t="s">
        <v>110</v>
      </c>
      <c r="C206" s="32" t="s">
        <v>185</v>
      </c>
      <c r="D206" s="27" t="s">
        <v>43</v>
      </c>
      <c r="E206" s="32" t="s">
        <v>121</v>
      </c>
      <c r="F206" s="27" t="s">
        <v>104</v>
      </c>
      <c r="G206" s="33" t="s">
        <v>104</v>
      </c>
      <c r="H206" s="33" t="s">
        <v>104</v>
      </c>
      <c r="I206" s="27" t="s">
        <v>84</v>
      </c>
      <c r="J206" s="34">
        <v>30000</v>
      </c>
      <c r="K206" s="34">
        <f t="shared" si="7"/>
        <v>30000</v>
      </c>
      <c r="L206" s="30"/>
      <c r="M206" s="30" t="s">
        <v>163</v>
      </c>
    </row>
    <row r="207" spans="1:13" s="41" customFormat="1" ht="28">
      <c r="A207" s="26">
        <v>5029902000</v>
      </c>
      <c r="B207" s="32" t="s">
        <v>110</v>
      </c>
      <c r="C207" s="32" t="s">
        <v>190</v>
      </c>
      <c r="D207" s="27" t="s">
        <v>43</v>
      </c>
      <c r="E207" s="32" t="s">
        <v>122</v>
      </c>
      <c r="F207" s="27" t="s">
        <v>104</v>
      </c>
      <c r="G207" s="33" t="s">
        <v>104</v>
      </c>
      <c r="H207" s="33" t="s">
        <v>104</v>
      </c>
      <c r="I207" s="27" t="s">
        <v>84</v>
      </c>
      <c r="J207" s="34">
        <f>99700+2450+28000+16000+42000+2656.5+51000</f>
        <v>241806.5</v>
      </c>
      <c r="K207" s="34">
        <f t="shared" si="7"/>
        <v>241806.5</v>
      </c>
      <c r="L207" s="30"/>
      <c r="M207" s="30" t="s">
        <v>163</v>
      </c>
    </row>
    <row r="208" spans="1:13" s="41" customFormat="1" ht="28">
      <c r="A208" s="26">
        <v>5029902000</v>
      </c>
      <c r="B208" s="32" t="s">
        <v>110</v>
      </c>
      <c r="C208" s="32" t="s">
        <v>198</v>
      </c>
      <c r="D208" s="27" t="s">
        <v>43</v>
      </c>
      <c r="E208" s="32" t="s">
        <v>123</v>
      </c>
      <c r="F208" s="27" t="s">
        <v>104</v>
      </c>
      <c r="G208" s="33" t="s">
        <v>104</v>
      </c>
      <c r="H208" s="33" t="s">
        <v>104</v>
      </c>
      <c r="I208" s="27" t="s">
        <v>84</v>
      </c>
      <c r="J208" s="34">
        <f>20400+200000</f>
        <v>220400</v>
      </c>
      <c r="K208" s="34">
        <f t="shared" ref="K208:K216" si="11">J208</f>
        <v>220400</v>
      </c>
      <c r="L208" s="30"/>
      <c r="M208" s="30" t="s">
        <v>162</v>
      </c>
    </row>
    <row r="209" spans="1:45" s="41" customFormat="1" ht="28">
      <c r="A209" s="26">
        <v>5029902000</v>
      </c>
      <c r="B209" s="32" t="s">
        <v>110</v>
      </c>
      <c r="C209" s="32" t="s">
        <v>212</v>
      </c>
      <c r="D209" s="27" t="s">
        <v>43</v>
      </c>
      <c r="E209" s="26" t="s">
        <v>122</v>
      </c>
      <c r="F209" s="27" t="s">
        <v>104</v>
      </c>
      <c r="G209" s="33" t="s">
        <v>104</v>
      </c>
      <c r="H209" s="33" t="s">
        <v>104</v>
      </c>
      <c r="I209" s="27" t="s">
        <v>84</v>
      </c>
      <c r="J209" s="34">
        <v>350000</v>
      </c>
      <c r="K209" s="34">
        <f t="shared" si="11"/>
        <v>350000</v>
      </c>
      <c r="L209" s="30"/>
      <c r="M209" s="30" t="s">
        <v>165</v>
      </c>
    </row>
    <row r="210" spans="1:45" s="41" customFormat="1" ht="28">
      <c r="A210" s="26">
        <v>5029902000</v>
      </c>
      <c r="B210" s="32" t="s">
        <v>110</v>
      </c>
      <c r="C210" s="32" t="s">
        <v>170</v>
      </c>
      <c r="D210" s="27" t="s">
        <v>43</v>
      </c>
      <c r="E210" s="26" t="s">
        <v>219</v>
      </c>
      <c r="F210" s="27" t="s">
        <v>104</v>
      </c>
      <c r="G210" s="33" t="s">
        <v>104</v>
      </c>
      <c r="H210" s="33" t="s">
        <v>104</v>
      </c>
      <c r="I210" s="27" t="s">
        <v>84</v>
      </c>
      <c r="J210" s="34">
        <v>32000</v>
      </c>
      <c r="K210" s="34">
        <f t="shared" si="11"/>
        <v>32000</v>
      </c>
      <c r="L210" s="30"/>
      <c r="M210" s="30" t="s">
        <v>162</v>
      </c>
    </row>
    <row r="211" spans="1:45" s="41" customFormat="1" ht="28">
      <c r="A211" s="26">
        <v>5029902000</v>
      </c>
      <c r="B211" s="32" t="s">
        <v>110</v>
      </c>
      <c r="C211" s="32" t="s">
        <v>220</v>
      </c>
      <c r="D211" s="27" t="s">
        <v>43</v>
      </c>
      <c r="E211" s="26" t="s">
        <v>176</v>
      </c>
      <c r="F211" s="27" t="s">
        <v>104</v>
      </c>
      <c r="G211" s="33" t="s">
        <v>104</v>
      </c>
      <c r="H211" s="33" t="s">
        <v>104</v>
      </c>
      <c r="I211" s="27" t="s">
        <v>84</v>
      </c>
      <c r="J211" s="34">
        <v>10800</v>
      </c>
      <c r="K211" s="34">
        <f t="shared" si="11"/>
        <v>10800</v>
      </c>
      <c r="L211" s="30"/>
      <c r="M211" s="30" t="s">
        <v>246</v>
      </c>
    </row>
    <row r="212" spans="1:45" s="41" customFormat="1" ht="28">
      <c r="A212" s="26">
        <v>5029902000</v>
      </c>
      <c r="B212" s="32" t="s">
        <v>110</v>
      </c>
      <c r="C212" s="32" t="s">
        <v>235</v>
      </c>
      <c r="D212" s="27" t="s">
        <v>43</v>
      </c>
      <c r="E212" s="26" t="s">
        <v>153</v>
      </c>
      <c r="F212" s="27" t="s">
        <v>104</v>
      </c>
      <c r="G212" s="33" t="s">
        <v>104</v>
      </c>
      <c r="H212" s="33" t="s">
        <v>104</v>
      </c>
      <c r="I212" s="27" t="s">
        <v>84</v>
      </c>
      <c r="J212" s="34">
        <v>1250000</v>
      </c>
      <c r="K212" s="34">
        <f t="shared" si="11"/>
        <v>1250000</v>
      </c>
      <c r="L212" s="30"/>
      <c r="M212" s="30" t="s">
        <v>167</v>
      </c>
    </row>
    <row r="213" spans="1:45" s="41" customFormat="1">
      <c r="A213" s="26">
        <v>5029902000</v>
      </c>
      <c r="B213" s="32" t="s">
        <v>110</v>
      </c>
      <c r="C213" s="32" t="s">
        <v>240</v>
      </c>
      <c r="D213" s="27" t="s">
        <v>43</v>
      </c>
      <c r="E213" s="26" t="s">
        <v>121</v>
      </c>
      <c r="F213" s="27" t="s">
        <v>104</v>
      </c>
      <c r="G213" s="33" t="s">
        <v>104</v>
      </c>
      <c r="H213" s="33" t="s">
        <v>104</v>
      </c>
      <c r="I213" s="27" t="s">
        <v>84</v>
      </c>
      <c r="J213" s="101">
        <v>162500</v>
      </c>
      <c r="K213" s="102">
        <f t="shared" si="11"/>
        <v>162500</v>
      </c>
      <c r="L213" s="30"/>
      <c r="M213" s="62" t="s">
        <v>282</v>
      </c>
    </row>
    <row r="214" spans="1:45" s="41" customFormat="1" ht="28">
      <c r="A214" s="26">
        <v>5029902001</v>
      </c>
      <c r="B214" s="32" t="s">
        <v>110</v>
      </c>
      <c r="C214" s="93" t="s">
        <v>343</v>
      </c>
      <c r="D214" s="83" t="s">
        <v>43</v>
      </c>
      <c r="E214" s="94" t="s">
        <v>303</v>
      </c>
      <c r="F214" s="106" t="s">
        <v>104</v>
      </c>
      <c r="G214" s="107" t="s">
        <v>104</v>
      </c>
      <c r="H214" s="107" t="s">
        <v>104</v>
      </c>
      <c r="I214" s="106" t="s">
        <v>84</v>
      </c>
      <c r="J214" s="34">
        <f>SUM(927564+272376)</f>
        <v>1199940</v>
      </c>
      <c r="K214" s="104">
        <f t="shared" si="11"/>
        <v>1199940</v>
      </c>
      <c r="L214" s="30"/>
      <c r="M214" s="62" t="s">
        <v>352</v>
      </c>
    </row>
    <row r="215" spans="1:45" s="41" customFormat="1">
      <c r="A215" s="26">
        <v>5029902000</v>
      </c>
      <c r="B215" s="66" t="s">
        <v>281</v>
      </c>
      <c r="C215" s="63" t="s">
        <v>286</v>
      </c>
      <c r="D215" s="64" t="s">
        <v>43</v>
      </c>
      <c r="E215" s="109">
        <v>45231</v>
      </c>
      <c r="F215" s="74" t="s">
        <v>104</v>
      </c>
      <c r="G215" s="74" t="s">
        <v>104</v>
      </c>
      <c r="H215" s="74" t="s">
        <v>104</v>
      </c>
      <c r="I215" s="123" t="s">
        <v>283</v>
      </c>
      <c r="J215" s="105">
        <v>127500</v>
      </c>
      <c r="K215" s="104">
        <f t="shared" si="11"/>
        <v>127500</v>
      </c>
      <c r="L215" s="30"/>
      <c r="M215" s="62" t="s">
        <v>284</v>
      </c>
    </row>
    <row r="216" spans="1:45" s="41" customFormat="1" ht="28">
      <c r="A216" s="26">
        <v>5029902000</v>
      </c>
      <c r="B216" s="32" t="s">
        <v>281</v>
      </c>
      <c r="C216" s="63" t="s">
        <v>285</v>
      </c>
      <c r="D216" s="64" t="s">
        <v>43</v>
      </c>
      <c r="E216" s="109">
        <v>45231</v>
      </c>
      <c r="F216" s="74" t="s">
        <v>104</v>
      </c>
      <c r="G216" s="74" t="s">
        <v>104</v>
      </c>
      <c r="H216" s="74" t="s">
        <v>104</v>
      </c>
      <c r="I216" s="123" t="s">
        <v>283</v>
      </c>
      <c r="J216" s="105">
        <v>497500</v>
      </c>
      <c r="K216" s="104">
        <f t="shared" si="11"/>
        <v>497500</v>
      </c>
      <c r="L216" s="30"/>
      <c r="M216" s="62" t="s">
        <v>340</v>
      </c>
    </row>
    <row r="217" spans="1:45" s="41" customFormat="1" ht="42">
      <c r="A217" s="26">
        <v>5029902000</v>
      </c>
      <c r="B217" s="32" t="s">
        <v>281</v>
      </c>
      <c r="C217" s="88" t="s">
        <v>232</v>
      </c>
      <c r="D217" s="89" t="s">
        <v>43</v>
      </c>
      <c r="E217" s="124" t="s">
        <v>335</v>
      </c>
      <c r="F217" s="125" t="s">
        <v>104</v>
      </c>
      <c r="G217" s="125" t="s">
        <v>104</v>
      </c>
      <c r="H217" s="125" t="s">
        <v>104</v>
      </c>
      <c r="I217" s="126" t="s">
        <v>84</v>
      </c>
      <c r="J217" s="103">
        <v>163050</v>
      </c>
      <c r="K217" s="103">
        <f t="shared" si="7"/>
        <v>163050</v>
      </c>
      <c r="L217" s="30"/>
      <c r="M217" s="30" t="s">
        <v>339</v>
      </c>
      <c r="AQ217" s="141"/>
      <c r="AR217" s="142"/>
      <c r="AS217" s="142"/>
    </row>
    <row r="218" spans="1:45" s="41" customFormat="1" ht="14.5">
      <c r="A218" s="26">
        <v>5029902000</v>
      </c>
      <c r="B218" s="32" t="s">
        <v>281</v>
      </c>
      <c r="C218" s="90" t="s">
        <v>343</v>
      </c>
      <c r="D218" s="91" t="s">
        <v>43</v>
      </c>
      <c r="E218" s="127" t="s">
        <v>316</v>
      </c>
      <c r="F218" s="128" t="s">
        <v>104</v>
      </c>
      <c r="G218" s="128" t="s">
        <v>104</v>
      </c>
      <c r="H218" s="128" t="s">
        <v>104</v>
      </c>
      <c r="I218" s="129" t="s">
        <v>84</v>
      </c>
      <c r="J218" s="29">
        <v>459500</v>
      </c>
      <c r="K218" s="29">
        <v>459500</v>
      </c>
      <c r="L218" s="30"/>
      <c r="M218" s="30" t="s">
        <v>344</v>
      </c>
      <c r="AQ218" s="81"/>
      <c r="AR218" s="82"/>
      <c r="AS218" s="82"/>
    </row>
    <row r="219" spans="1:45" s="41" customFormat="1" ht="28">
      <c r="A219" s="26">
        <v>5029902001</v>
      </c>
      <c r="B219" s="32" t="s">
        <v>281</v>
      </c>
      <c r="C219" s="90" t="s">
        <v>380</v>
      </c>
      <c r="D219" s="91" t="s">
        <v>43</v>
      </c>
      <c r="E219" s="127" t="s">
        <v>316</v>
      </c>
      <c r="F219" s="128" t="s">
        <v>104</v>
      </c>
      <c r="G219" s="128" t="s">
        <v>104</v>
      </c>
      <c r="H219" s="128" t="s">
        <v>104</v>
      </c>
      <c r="I219" s="129" t="s">
        <v>84</v>
      </c>
      <c r="J219" s="29">
        <f>155919.5+27300</f>
        <v>183219.5</v>
      </c>
      <c r="K219" s="103">
        <f t="shared" si="7"/>
        <v>183219.5</v>
      </c>
      <c r="L219" s="30"/>
      <c r="M219" s="30"/>
      <c r="AQ219" s="81"/>
      <c r="AR219" s="82"/>
      <c r="AS219" s="82"/>
    </row>
    <row r="220" spans="1:45" s="41" customFormat="1" ht="14.5">
      <c r="A220" s="26">
        <v>5029902001</v>
      </c>
      <c r="B220" s="32" t="s">
        <v>281</v>
      </c>
      <c r="C220" s="90" t="s">
        <v>363</v>
      </c>
      <c r="D220" s="91" t="s">
        <v>43</v>
      </c>
      <c r="E220" s="127" t="s">
        <v>331</v>
      </c>
      <c r="F220" s="128" t="s">
        <v>104</v>
      </c>
      <c r="G220" s="128" t="s">
        <v>104</v>
      </c>
      <c r="H220" s="128" t="s">
        <v>104</v>
      </c>
      <c r="I220" s="129" t="s">
        <v>84</v>
      </c>
      <c r="J220" s="29">
        <v>40000</v>
      </c>
      <c r="K220" s="29">
        <v>40000</v>
      </c>
      <c r="L220" s="30"/>
      <c r="M220" s="30" t="s">
        <v>365</v>
      </c>
      <c r="AQ220" s="81"/>
      <c r="AR220" s="82"/>
      <c r="AS220" s="82"/>
    </row>
    <row r="221" spans="1:45" s="41" customFormat="1" ht="28">
      <c r="A221" s="26">
        <v>5020401000</v>
      </c>
      <c r="B221" s="35" t="s">
        <v>92</v>
      </c>
      <c r="C221" s="26" t="s">
        <v>111</v>
      </c>
      <c r="D221" s="27" t="s">
        <v>43</v>
      </c>
      <c r="E221" s="26" t="s">
        <v>122</v>
      </c>
      <c r="F221" s="27" t="s">
        <v>104</v>
      </c>
      <c r="G221" s="33" t="s">
        <v>104</v>
      </c>
      <c r="H221" s="33" t="s">
        <v>104</v>
      </c>
      <c r="I221" s="27" t="s">
        <v>84</v>
      </c>
      <c r="J221" s="29">
        <v>52200</v>
      </c>
      <c r="K221" s="29">
        <f t="shared" si="7"/>
        <v>52200</v>
      </c>
      <c r="L221" s="30"/>
      <c r="M221" s="30" t="s">
        <v>167</v>
      </c>
      <c r="AQ221" s="141"/>
      <c r="AR221" s="142"/>
      <c r="AS221" s="142"/>
    </row>
    <row r="222" spans="1:45" s="41" customFormat="1" ht="28">
      <c r="A222" s="26">
        <v>5020401000</v>
      </c>
      <c r="B222" s="36" t="s">
        <v>92</v>
      </c>
      <c r="C222" s="26" t="s">
        <v>171</v>
      </c>
      <c r="D222" s="27" t="s">
        <v>43</v>
      </c>
      <c r="E222" s="26" t="s">
        <v>172</v>
      </c>
      <c r="F222" s="27" t="s">
        <v>104</v>
      </c>
      <c r="G222" s="33" t="s">
        <v>104</v>
      </c>
      <c r="H222" s="33" t="s">
        <v>104</v>
      </c>
      <c r="I222" s="27" t="s">
        <v>84</v>
      </c>
      <c r="J222" s="29">
        <v>198000</v>
      </c>
      <c r="K222" s="29">
        <f t="shared" si="7"/>
        <v>198000</v>
      </c>
      <c r="L222" s="30"/>
      <c r="M222" s="30" t="s">
        <v>167</v>
      </c>
      <c r="AQ222" s="141"/>
      <c r="AR222" s="142"/>
      <c r="AS222" s="142"/>
    </row>
    <row r="223" spans="1:45" s="41" customFormat="1" ht="28">
      <c r="A223" s="26">
        <v>5020401000</v>
      </c>
      <c r="B223" s="36" t="s">
        <v>92</v>
      </c>
      <c r="C223" s="26" t="s">
        <v>220</v>
      </c>
      <c r="D223" s="27" t="s">
        <v>43</v>
      </c>
      <c r="E223" s="26" t="s">
        <v>122</v>
      </c>
      <c r="F223" s="27" t="s">
        <v>104</v>
      </c>
      <c r="G223" s="33" t="s">
        <v>104</v>
      </c>
      <c r="H223" s="33" t="s">
        <v>104</v>
      </c>
      <c r="I223" s="27" t="s">
        <v>84</v>
      </c>
      <c r="J223" s="29">
        <v>60300</v>
      </c>
      <c r="K223" s="29">
        <f>J223</f>
        <v>60300</v>
      </c>
      <c r="L223" s="30"/>
      <c r="M223" s="30" t="s">
        <v>167</v>
      </c>
    </row>
    <row r="224" spans="1:45" s="41" customFormat="1" ht="42">
      <c r="A224" s="26">
        <v>5020401000</v>
      </c>
      <c r="B224" s="36" t="s">
        <v>92</v>
      </c>
      <c r="C224" s="26" t="s">
        <v>225</v>
      </c>
      <c r="D224" s="27" t="s">
        <v>43</v>
      </c>
      <c r="E224" s="26" t="s">
        <v>146</v>
      </c>
      <c r="F224" s="27" t="s">
        <v>104</v>
      </c>
      <c r="G224" s="33" t="s">
        <v>104</v>
      </c>
      <c r="H224" s="33" t="s">
        <v>104</v>
      </c>
      <c r="I224" s="27" t="s">
        <v>84</v>
      </c>
      <c r="J224" s="29">
        <v>98560</v>
      </c>
      <c r="K224" s="29">
        <f t="shared" si="7"/>
        <v>98560</v>
      </c>
      <c r="L224" s="30"/>
      <c r="M224" s="30" t="s">
        <v>167</v>
      </c>
    </row>
    <row r="225" spans="1:14" s="41" customFormat="1" ht="42">
      <c r="A225" s="26">
        <v>5020399000</v>
      </c>
      <c r="B225" s="35" t="s">
        <v>196</v>
      </c>
      <c r="C225" s="26" t="s">
        <v>190</v>
      </c>
      <c r="D225" s="27" t="s">
        <v>43</v>
      </c>
      <c r="E225" s="26" t="s">
        <v>152</v>
      </c>
      <c r="F225" s="27" t="s">
        <v>104</v>
      </c>
      <c r="G225" s="33" t="s">
        <v>104</v>
      </c>
      <c r="H225" s="33" t="s">
        <v>104</v>
      </c>
      <c r="I225" s="27" t="s">
        <v>84</v>
      </c>
      <c r="J225" s="29">
        <v>379005</v>
      </c>
      <c r="K225" s="29">
        <f>J225</f>
        <v>379005</v>
      </c>
      <c r="L225" s="30"/>
      <c r="M225" s="30" t="s">
        <v>197</v>
      </c>
    </row>
    <row r="226" spans="1:14" s="41" customFormat="1" ht="28">
      <c r="A226" s="26">
        <v>5020399000</v>
      </c>
      <c r="B226" s="35" t="s">
        <v>94</v>
      </c>
      <c r="C226" s="26" t="s">
        <v>111</v>
      </c>
      <c r="D226" s="27" t="s">
        <v>43</v>
      </c>
      <c r="E226" s="26" t="s">
        <v>122</v>
      </c>
      <c r="F226" s="27" t="s">
        <v>104</v>
      </c>
      <c r="G226" s="33" t="s">
        <v>104</v>
      </c>
      <c r="H226" s="33" t="s">
        <v>104</v>
      </c>
      <c r="I226" s="27" t="s">
        <v>84</v>
      </c>
      <c r="J226" s="29">
        <v>413472.25</v>
      </c>
      <c r="K226" s="29">
        <f t="shared" si="7"/>
        <v>413472.25</v>
      </c>
      <c r="L226" s="30"/>
      <c r="M226" s="30" t="s">
        <v>199</v>
      </c>
    </row>
    <row r="227" spans="1:14" s="41" customFormat="1" ht="28">
      <c r="A227" s="26">
        <v>5020399000</v>
      </c>
      <c r="B227" s="36" t="s">
        <v>94</v>
      </c>
      <c r="C227" s="26" t="s">
        <v>198</v>
      </c>
      <c r="D227" s="27" t="s">
        <v>43</v>
      </c>
      <c r="E227" s="26" t="s">
        <v>122</v>
      </c>
      <c r="F227" s="27" t="s">
        <v>104</v>
      </c>
      <c r="G227" s="33" t="s">
        <v>104</v>
      </c>
      <c r="H227" s="33" t="s">
        <v>104</v>
      </c>
      <c r="I227" s="27" t="s">
        <v>84</v>
      </c>
      <c r="J227" s="100">
        <v>99000</v>
      </c>
      <c r="K227" s="86">
        <v>99000</v>
      </c>
      <c r="L227" s="30"/>
      <c r="M227" s="30"/>
      <c r="N227" s="67"/>
    </row>
    <row r="228" spans="1:14" s="41" customFormat="1" ht="28">
      <c r="A228" s="26">
        <v>5020399000</v>
      </c>
      <c r="B228" s="36" t="s">
        <v>94</v>
      </c>
      <c r="C228" s="26" t="s">
        <v>287</v>
      </c>
      <c r="D228" s="27" t="s">
        <v>43</v>
      </c>
      <c r="E228" s="85">
        <v>45261</v>
      </c>
      <c r="F228" s="83" t="s">
        <v>104</v>
      </c>
      <c r="G228" s="84" t="s">
        <v>104</v>
      </c>
      <c r="H228" s="84" t="s">
        <v>104</v>
      </c>
      <c r="I228" s="83" t="s">
        <v>84</v>
      </c>
      <c r="J228" s="100">
        <v>4000</v>
      </c>
      <c r="K228" s="86">
        <f>J228</f>
        <v>4000</v>
      </c>
      <c r="L228" s="30"/>
      <c r="M228" s="68" t="s">
        <v>288</v>
      </c>
      <c r="N228" s="67"/>
    </row>
    <row r="229" spans="1:14" s="41" customFormat="1" ht="28">
      <c r="A229" s="26">
        <v>5020399000</v>
      </c>
      <c r="B229" s="36" t="s">
        <v>94</v>
      </c>
      <c r="C229" s="26" t="s">
        <v>287</v>
      </c>
      <c r="D229" s="64" t="s">
        <v>43</v>
      </c>
      <c r="E229" s="109">
        <v>45261</v>
      </c>
      <c r="F229" s="69" t="s">
        <v>104</v>
      </c>
      <c r="G229" s="109" t="s">
        <v>104</v>
      </c>
      <c r="H229" s="109" t="s">
        <v>104</v>
      </c>
      <c r="I229" s="69" t="s">
        <v>84</v>
      </c>
      <c r="J229" s="87">
        <v>56000</v>
      </c>
      <c r="K229" s="86">
        <f>J229</f>
        <v>56000</v>
      </c>
      <c r="L229" s="30"/>
      <c r="M229" s="30" t="s">
        <v>341</v>
      </c>
      <c r="N229" s="65"/>
    </row>
    <row r="230" spans="1:14" s="41" customFormat="1" ht="28">
      <c r="A230" s="26">
        <v>5020301002</v>
      </c>
      <c r="B230" s="25" t="s">
        <v>265</v>
      </c>
      <c r="C230" s="26" t="s">
        <v>105</v>
      </c>
      <c r="D230" s="27" t="s">
        <v>43</v>
      </c>
      <c r="E230" s="26" t="s">
        <v>116</v>
      </c>
      <c r="F230" s="27" t="s">
        <v>104</v>
      </c>
      <c r="G230" s="33" t="s">
        <v>104</v>
      </c>
      <c r="H230" s="33" t="s">
        <v>104</v>
      </c>
      <c r="I230" s="27" t="s">
        <v>84</v>
      </c>
      <c r="J230" s="29">
        <v>450000</v>
      </c>
      <c r="K230" s="29">
        <f t="shared" si="7"/>
        <v>450000</v>
      </c>
      <c r="L230" s="30"/>
      <c r="M230" s="30"/>
    </row>
    <row r="231" spans="1:14" s="41" customFormat="1" ht="28">
      <c r="A231" s="26">
        <v>5020309000</v>
      </c>
      <c r="B231" s="35" t="s">
        <v>91</v>
      </c>
      <c r="C231" s="26" t="s">
        <v>111</v>
      </c>
      <c r="D231" s="27" t="s">
        <v>43</v>
      </c>
      <c r="E231" s="26" t="s">
        <v>123</v>
      </c>
      <c r="F231" s="27" t="s">
        <v>104</v>
      </c>
      <c r="G231" s="33" t="s">
        <v>104</v>
      </c>
      <c r="H231" s="33" t="s">
        <v>104</v>
      </c>
      <c r="I231" s="27" t="s">
        <v>84</v>
      </c>
      <c r="J231" s="29">
        <v>183600</v>
      </c>
      <c r="K231" s="29">
        <f>J231</f>
        <v>183600</v>
      </c>
      <c r="L231" s="30"/>
      <c r="M231" s="30"/>
    </row>
    <row r="232" spans="1:14" s="41" customFormat="1" ht="28">
      <c r="A232" s="26">
        <v>5020309000</v>
      </c>
      <c r="B232" s="36" t="s">
        <v>91</v>
      </c>
      <c r="C232" s="26" t="s">
        <v>220</v>
      </c>
      <c r="D232" s="27" t="s">
        <v>43</v>
      </c>
      <c r="E232" s="33" t="s">
        <v>122</v>
      </c>
      <c r="F232" s="27" t="s">
        <v>104</v>
      </c>
      <c r="G232" s="33" t="s">
        <v>104</v>
      </c>
      <c r="H232" s="33" t="s">
        <v>104</v>
      </c>
      <c r="I232" s="27" t="s">
        <v>84</v>
      </c>
      <c r="J232" s="29">
        <v>60000</v>
      </c>
      <c r="K232" s="29">
        <f>J232</f>
        <v>60000</v>
      </c>
      <c r="L232" s="30"/>
      <c r="M232" s="30"/>
    </row>
    <row r="233" spans="1:14" s="41" customFormat="1" ht="42">
      <c r="A233" s="26">
        <v>5020309000</v>
      </c>
      <c r="B233" s="36" t="s">
        <v>91</v>
      </c>
      <c r="C233" s="26" t="s">
        <v>225</v>
      </c>
      <c r="D233" s="27" t="s">
        <v>43</v>
      </c>
      <c r="E233" s="33" t="s">
        <v>146</v>
      </c>
      <c r="F233" s="27" t="s">
        <v>104</v>
      </c>
      <c r="G233" s="33" t="s">
        <v>104</v>
      </c>
      <c r="H233" s="33" t="s">
        <v>104</v>
      </c>
      <c r="I233" s="27" t="s">
        <v>84</v>
      </c>
      <c r="J233" s="29">
        <v>82500</v>
      </c>
      <c r="K233" s="29">
        <f t="shared" si="7"/>
        <v>82500</v>
      </c>
      <c r="L233" s="30"/>
      <c r="M233" s="30"/>
    </row>
    <row r="234" spans="1:14" s="41" customFormat="1" ht="28">
      <c r="A234" s="26">
        <v>5020309000</v>
      </c>
      <c r="B234" s="35" t="s">
        <v>130</v>
      </c>
      <c r="C234" s="26" t="s">
        <v>111</v>
      </c>
      <c r="D234" s="27" t="s">
        <v>43</v>
      </c>
      <c r="E234" s="33" t="s">
        <v>122</v>
      </c>
      <c r="F234" s="27" t="s">
        <v>104</v>
      </c>
      <c r="G234" s="33" t="s">
        <v>104</v>
      </c>
      <c r="H234" s="33" t="s">
        <v>104</v>
      </c>
      <c r="I234" s="27" t="s">
        <v>84</v>
      </c>
      <c r="J234" s="29">
        <v>160000</v>
      </c>
      <c r="K234" s="29">
        <f t="shared" si="7"/>
        <v>160000</v>
      </c>
      <c r="L234" s="30"/>
      <c r="M234" s="30" t="s">
        <v>222</v>
      </c>
    </row>
    <row r="235" spans="1:14" s="41" customFormat="1" ht="28">
      <c r="A235" s="26">
        <v>5020309000</v>
      </c>
      <c r="B235" s="36" t="s">
        <v>130</v>
      </c>
      <c r="C235" s="26" t="s">
        <v>105</v>
      </c>
      <c r="D235" s="27" t="s">
        <v>43</v>
      </c>
      <c r="E235" s="33" t="s">
        <v>122</v>
      </c>
      <c r="F235" s="27" t="s">
        <v>104</v>
      </c>
      <c r="G235" s="33" t="s">
        <v>104</v>
      </c>
      <c r="H235" s="33" t="s">
        <v>104</v>
      </c>
      <c r="I235" s="27" t="s">
        <v>84</v>
      </c>
      <c r="J235" s="29">
        <v>180000</v>
      </c>
      <c r="K235" s="29">
        <f t="shared" si="7"/>
        <v>180000</v>
      </c>
      <c r="L235" s="30"/>
      <c r="M235" s="30" t="s">
        <v>206</v>
      </c>
    </row>
    <row r="236" spans="1:14" s="41" customFormat="1" ht="42">
      <c r="A236" s="26">
        <v>5020309000</v>
      </c>
      <c r="B236" s="36" t="s">
        <v>130</v>
      </c>
      <c r="C236" s="26" t="s">
        <v>148</v>
      </c>
      <c r="D236" s="27" t="s">
        <v>43</v>
      </c>
      <c r="E236" s="33" t="s">
        <v>127</v>
      </c>
      <c r="F236" s="27" t="s">
        <v>104</v>
      </c>
      <c r="G236" s="33" t="s">
        <v>104</v>
      </c>
      <c r="H236" s="33" t="s">
        <v>104</v>
      </c>
      <c r="I236" s="27" t="s">
        <v>84</v>
      </c>
      <c r="J236" s="29">
        <v>240000</v>
      </c>
      <c r="K236" s="29">
        <f t="shared" si="7"/>
        <v>240000</v>
      </c>
      <c r="L236" s="30"/>
      <c r="M236" s="30" t="s">
        <v>215</v>
      </c>
    </row>
    <row r="237" spans="1:14" s="41" customFormat="1" ht="28">
      <c r="A237" s="26">
        <v>5020309000</v>
      </c>
      <c r="B237" s="36" t="s">
        <v>130</v>
      </c>
      <c r="C237" s="26" t="s">
        <v>151</v>
      </c>
      <c r="D237" s="27" t="s">
        <v>43</v>
      </c>
      <c r="E237" s="33" t="s">
        <v>138</v>
      </c>
      <c r="F237" s="27" t="s">
        <v>104</v>
      </c>
      <c r="G237" s="33" t="s">
        <v>104</v>
      </c>
      <c r="H237" s="33" t="s">
        <v>104</v>
      </c>
      <c r="I237" s="27" t="s">
        <v>84</v>
      </c>
      <c r="J237" s="29">
        <v>240000</v>
      </c>
      <c r="K237" s="29">
        <f t="shared" si="7"/>
        <v>240000</v>
      </c>
      <c r="L237" s="30"/>
      <c r="M237" s="30" t="s">
        <v>215</v>
      </c>
    </row>
    <row r="238" spans="1:14" s="41" customFormat="1" ht="28">
      <c r="A238" s="26">
        <v>5020309000</v>
      </c>
      <c r="B238" s="36" t="s">
        <v>130</v>
      </c>
      <c r="C238" s="26" t="s">
        <v>173</v>
      </c>
      <c r="D238" s="27" t="s">
        <v>43</v>
      </c>
      <c r="E238" s="33" t="s">
        <v>122</v>
      </c>
      <c r="F238" s="27" t="s">
        <v>104</v>
      </c>
      <c r="G238" s="33" t="s">
        <v>104</v>
      </c>
      <c r="H238" s="33" t="s">
        <v>104</v>
      </c>
      <c r="I238" s="27" t="s">
        <v>84</v>
      </c>
      <c r="J238" s="29">
        <v>50000</v>
      </c>
      <c r="K238" s="29">
        <f t="shared" si="7"/>
        <v>50000</v>
      </c>
      <c r="L238" s="30"/>
      <c r="M238" s="30" t="s">
        <v>223</v>
      </c>
    </row>
    <row r="239" spans="1:14" s="41" customFormat="1" ht="42">
      <c r="A239" s="26">
        <v>5020309000</v>
      </c>
      <c r="B239" s="36" t="s">
        <v>130</v>
      </c>
      <c r="C239" s="26" t="s">
        <v>198</v>
      </c>
      <c r="D239" s="27" t="s">
        <v>43</v>
      </c>
      <c r="E239" s="33" t="s">
        <v>146</v>
      </c>
      <c r="F239" s="27" t="s">
        <v>104</v>
      </c>
      <c r="G239" s="33" t="s">
        <v>104</v>
      </c>
      <c r="H239" s="33" t="s">
        <v>104</v>
      </c>
      <c r="I239" s="27" t="s">
        <v>84</v>
      </c>
      <c r="J239" s="29">
        <v>504000</v>
      </c>
      <c r="K239" s="29">
        <f t="shared" ref="K239:K246" si="12">J239</f>
        <v>504000</v>
      </c>
      <c r="L239" s="30"/>
      <c r="M239" s="30" t="s">
        <v>206</v>
      </c>
    </row>
    <row r="240" spans="1:14" s="41" customFormat="1" ht="28">
      <c r="A240" s="26">
        <v>5020309000</v>
      </c>
      <c r="B240" s="36" t="s">
        <v>130</v>
      </c>
      <c r="C240" s="26" t="s">
        <v>212</v>
      </c>
      <c r="D240" s="27" t="s">
        <v>43</v>
      </c>
      <c r="E240" s="33" t="s">
        <v>145</v>
      </c>
      <c r="F240" s="27" t="s">
        <v>104</v>
      </c>
      <c r="G240" s="33" t="s">
        <v>104</v>
      </c>
      <c r="H240" s="33" t="s">
        <v>104</v>
      </c>
      <c r="I240" s="27" t="s">
        <v>84</v>
      </c>
      <c r="J240" s="29">
        <v>200000</v>
      </c>
      <c r="K240" s="29">
        <f t="shared" si="12"/>
        <v>200000</v>
      </c>
      <c r="L240" s="30"/>
      <c r="M240" s="30" t="s">
        <v>215</v>
      </c>
    </row>
    <row r="241" spans="1:14" s="41" customFormat="1" ht="28">
      <c r="A241" s="26">
        <v>5020309000</v>
      </c>
      <c r="B241" s="36" t="s">
        <v>130</v>
      </c>
      <c r="C241" s="26" t="s">
        <v>220</v>
      </c>
      <c r="D241" s="27" t="s">
        <v>43</v>
      </c>
      <c r="E241" s="33" t="s">
        <v>122</v>
      </c>
      <c r="F241" s="27" t="s">
        <v>104</v>
      </c>
      <c r="G241" s="33" t="s">
        <v>104</v>
      </c>
      <c r="H241" s="33" t="s">
        <v>104</v>
      </c>
      <c r="I241" s="27" t="s">
        <v>84</v>
      </c>
      <c r="J241" s="29">
        <v>350000</v>
      </c>
      <c r="K241" s="29">
        <f t="shared" si="12"/>
        <v>350000</v>
      </c>
      <c r="L241" s="30"/>
      <c r="M241" s="30" t="s">
        <v>222</v>
      </c>
    </row>
    <row r="242" spans="1:14" s="41" customFormat="1" ht="42">
      <c r="A242" s="26">
        <v>5020309000</v>
      </c>
      <c r="B242" s="36" t="s">
        <v>130</v>
      </c>
      <c r="C242" s="26" t="s">
        <v>225</v>
      </c>
      <c r="D242" s="27" t="s">
        <v>43</v>
      </c>
      <c r="E242" s="33" t="s">
        <v>218</v>
      </c>
      <c r="F242" s="27" t="s">
        <v>104</v>
      </c>
      <c r="G242" s="33" t="s">
        <v>104</v>
      </c>
      <c r="H242" s="33" t="s">
        <v>104</v>
      </c>
      <c r="I242" s="27" t="s">
        <v>84</v>
      </c>
      <c r="J242" s="29">
        <v>190725</v>
      </c>
      <c r="K242" s="29">
        <f t="shared" si="12"/>
        <v>190725</v>
      </c>
      <c r="L242" s="30"/>
      <c r="M242" s="30" t="s">
        <v>222</v>
      </c>
    </row>
    <row r="243" spans="1:14" s="41" customFormat="1" ht="42">
      <c r="A243" s="26">
        <v>5020309000</v>
      </c>
      <c r="B243" s="36" t="s">
        <v>130</v>
      </c>
      <c r="C243" s="26" t="s">
        <v>255</v>
      </c>
      <c r="D243" s="27" t="s">
        <v>43</v>
      </c>
      <c r="E243" s="33" t="s">
        <v>146</v>
      </c>
      <c r="F243" s="27" t="s">
        <v>104</v>
      </c>
      <c r="G243" s="33" t="s">
        <v>104</v>
      </c>
      <c r="H243" s="33" t="s">
        <v>104</v>
      </c>
      <c r="I243" s="27" t="s">
        <v>84</v>
      </c>
      <c r="J243" s="86">
        <v>50000</v>
      </c>
      <c r="K243" s="86">
        <f t="shared" si="12"/>
        <v>50000</v>
      </c>
      <c r="L243" s="30"/>
      <c r="M243" s="30" t="s">
        <v>222</v>
      </c>
    </row>
    <row r="244" spans="1:14" s="41" customFormat="1" ht="56">
      <c r="A244" s="26">
        <v>5060404001</v>
      </c>
      <c r="B244" s="35" t="s">
        <v>293</v>
      </c>
      <c r="C244" s="26" t="s">
        <v>220</v>
      </c>
      <c r="D244" s="73" t="s">
        <v>30</v>
      </c>
      <c r="E244" s="135">
        <v>45047</v>
      </c>
      <c r="F244" s="69" t="s">
        <v>104</v>
      </c>
      <c r="G244" s="69" t="s">
        <v>104</v>
      </c>
      <c r="H244" s="69" t="s">
        <v>104</v>
      </c>
      <c r="I244" s="74" t="s">
        <v>84</v>
      </c>
      <c r="J244" s="98">
        <v>12554136</v>
      </c>
      <c r="K244" s="86">
        <f t="shared" si="12"/>
        <v>12554136</v>
      </c>
      <c r="L244" s="30"/>
      <c r="M244" s="74" t="s">
        <v>295</v>
      </c>
    </row>
    <row r="245" spans="1:14" s="41" customFormat="1" ht="42.5" thickBot="1">
      <c r="A245" s="26">
        <v>5060404001</v>
      </c>
      <c r="B245" s="36" t="s">
        <v>293</v>
      </c>
      <c r="C245" s="26" t="s">
        <v>225</v>
      </c>
      <c r="D245" s="73" t="s">
        <v>30</v>
      </c>
      <c r="E245" s="136" t="s">
        <v>294</v>
      </c>
      <c r="F245" s="69" t="s">
        <v>104</v>
      </c>
      <c r="G245" s="69" t="s">
        <v>104</v>
      </c>
      <c r="H245" s="69" t="s">
        <v>104</v>
      </c>
      <c r="I245" s="74" t="s">
        <v>84</v>
      </c>
      <c r="J245" s="98">
        <v>2237947.0299999998</v>
      </c>
      <c r="K245" s="86">
        <f t="shared" si="12"/>
        <v>2237947.0299999998</v>
      </c>
      <c r="L245" s="30"/>
      <c r="M245" s="75" t="s">
        <v>296</v>
      </c>
    </row>
    <row r="246" spans="1:14" s="41" customFormat="1" ht="49.5" customHeight="1" thickBot="1">
      <c r="A246" s="26">
        <v>5060404001</v>
      </c>
      <c r="B246" s="36" t="s">
        <v>293</v>
      </c>
      <c r="C246" s="26" t="s">
        <v>225</v>
      </c>
      <c r="D246" s="73" t="s">
        <v>30</v>
      </c>
      <c r="E246" s="136">
        <v>45170</v>
      </c>
      <c r="F246" s="69" t="s">
        <v>104</v>
      </c>
      <c r="G246" s="69" t="s">
        <v>104</v>
      </c>
      <c r="H246" s="69" t="s">
        <v>104</v>
      </c>
      <c r="I246" s="74" t="s">
        <v>84</v>
      </c>
      <c r="J246" s="99">
        <v>218138.81</v>
      </c>
      <c r="K246" s="86">
        <f t="shared" si="12"/>
        <v>218138.81</v>
      </c>
      <c r="L246" s="77"/>
      <c r="M246" s="143" t="s">
        <v>297</v>
      </c>
      <c r="N246" s="144"/>
    </row>
    <row r="247" spans="1:14" s="41" customFormat="1" ht="28.5" thickBot="1">
      <c r="A247" s="26">
        <v>5021304001</v>
      </c>
      <c r="B247" s="35" t="s">
        <v>113</v>
      </c>
      <c r="C247" s="26" t="s">
        <v>111</v>
      </c>
      <c r="D247" s="27" t="s">
        <v>43</v>
      </c>
      <c r="E247" s="33" t="s">
        <v>122</v>
      </c>
      <c r="F247" s="27" t="s">
        <v>104</v>
      </c>
      <c r="G247" s="33" t="s">
        <v>104</v>
      </c>
      <c r="H247" s="33" t="s">
        <v>104</v>
      </c>
      <c r="I247" s="27" t="s">
        <v>84</v>
      </c>
      <c r="J247" s="72">
        <v>49500</v>
      </c>
      <c r="K247" s="72">
        <f t="shared" si="7"/>
        <v>49500</v>
      </c>
      <c r="L247" s="30"/>
      <c r="M247" s="30" t="s">
        <v>291</v>
      </c>
    </row>
    <row r="248" spans="1:14" s="41" customFormat="1" ht="28.5" thickBot="1">
      <c r="A248" s="26">
        <v>5021304001</v>
      </c>
      <c r="B248" s="36" t="s">
        <v>113</v>
      </c>
      <c r="C248" s="26" t="s">
        <v>300</v>
      </c>
      <c r="D248" s="27" t="s">
        <v>43</v>
      </c>
      <c r="E248" s="137">
        <v>45108</v>
      </c>
      <c r="F248" s="117" t="s">
        <v>104</v>
      </c>
      <c r="G248" s="117" t="s">
        <v>104</v>
      </c>
      <c r="H248" s="117" t="s">
        <v>104</v>
      </c>
      <c r="I248" s="138" t="s">
        <v>84</v>
      </c>
      <c r="J248" s="29">
        <v>349411.61719999998</v>
      </c>
      <c r="K248" s="29">
        <f>J248</f>
        <v>349411.61719999998</v>
      </c>
      <c r="L248" s="30"/>
      <c r="M248" s="143" t="s">
        <v>301</v>
      </c>
      <c r="N248" s="144"/>
    </row>
    <row r="249" spans="1:14" s="41" customFormat="1" ht="28">
      <c r="A249" s="26">
        <v>5021304001</v>
      </c>
      <c r="B249" s="36" t="s">
        <v>113</v>
      </c>
      <c r="C249" s="26" t="s">
        <v>105</v>
      </c>
      <c r="D249" s="27" t="s">
        <v>43</v>
      </c>
      <c r="E249" s="33" t="s">
        <v>124</v>
      </c>
      <c r="F249" s="27" t="s">
        <v>104</v>
      </c>
      <c r="G249" s="33" t="s">
        <v>104</v>
      </c>
      <c r="H249" s="33" t="s">
        <v>104</v>
      </c>
      <c r="I249" s="27" t="s">
        <v>84</v>
      </c>
      <c r="J249" s="29">
        <v>300000</v>
      </c>
      <c r="K249" s="29">
        <f t="shared" si="7"/>
        <v>300000</v>
      </c>
      <c r="L249" s="30"/>
      <c r="M249" s="30"/>
    </row>
    <row r="250" spans="1:14" s="41" customFormat="1" ht="28">
      <c r="A250" s="26">
        <v>5021304001</v>
      </c>
      <c r="B250" s="36" t="s">
        <v>113</v>
      </c>
      <c r="C250" s="26" t="s">
        <v>177</v>
      </c>
      <c r="D250" s="27" t="s">
        <v>43</v>
      </c>
      <c r="E250" s="33" t="s">
        <v>362</v>
      </c>
      <c r="F250" s="27" t="s">
        <v>104</v>
      </c>
      <c r="G250" s="33" t="s">
        <v>104</v>
      </c>
      <c r="H250" s="33" t="s">
        <v>104</v>
      </c>
      <c r="I250" s="27" t="s">
        <v>84</v>
      </c>
      <c r="J250" s="29">
        <f>293364.1+993479.73+79795</f>
        <v>1366638.83</v>
      </c>
      <c r="K250" s="29">
        <f t="shared" si="7"/>
        <v>1366638.83</v>
      </c>
      <c r="L250" s="30"/>
      <c r="M250" s="30"/>
    </row>
    <row r="251" spans="1:14" s="41" customFormat="1" ht="28">
      <c r="A251" s="26">
        <v>5021304001</v>
      </c>
      <c r="B251" s="36" t="s">
        <v>113</v>
      </c>
      <c r="C251" s="26" t="s">
        <v>220</v>
      </c>
      <c r="D251" s="27" t="s">
        <v>43</v>
      </c>
      <c r="E251" s="33" t="s">
        <v>122</v>
      </c>
      <c r="F251" s="27" t="s">
        <v>104</v>
      </c>
      <c r="G251" s="33" t="s">
        <v>104</v>
      </c>
      <c r="H251" s="33" t="s">
        <v>104</v>
      </c>
      <c r="I251" s="27" t="s">
        <v>84</v>
      </c>
      <c r="J251" s="29">
        <v>100000</v>
      </c>
      <c r="K251" s="29">
        <f>J251</f>
        <v>100000</v>
      </c>
      <c r="L251" s="30"/>
      <c r="M251" s="30"/>
    </row>
    <row r="252" spans="1:14" s="41" customFormat="1" ht="42">
      <c r="A252" s="26">
        <v>5021304001</v>
      </c>
      <c r="B252" s="36" t="s">
        <v>113</v>
      </c>
      <c r="C252" s="26" t="s">
        <v>255</v>
      </c>
      <c r="D252" s="27" t="s">
        <v>43</v>
      </c>
      <c r="E252" s="33" t="s">
        <v>146</v>
      </c>
      <c r="F252" s="27" t="s">
        <v>104</v>
      </c>
      <c r="G252" s="33" t="s">
        <v>104</v>
      </c>
      <c r="H252" s="33" t="s">
        <v>104</v>
      </c>
      <c r="I252" s="27" t="s">
        <v>84</v>
      </c>
      <c r="J252" s="29">
        <v>50000</v>
      </c>
      <c r="K252" s="29">
        <f>J252</f>
        <v>50000</v>
      </c>
      <c r="L252" s="30"/>
      <c r="M252" s="30"/>
    </row>
    <row r="253" spans="1:14" s="41" customFormat="1" ht="56">
      <c r="A253" s="26">
        <v>5021304001</v>
      </c>
      <c r="B253" s="36" t="s">
        <v>113</v>
      </c>
      <c r="C253" s="26" t="s">
        <v>225</v>
      </c>
      <c r="D253" s="27" t="s">
        <v>43</v>
      </c>
      <c r="E253" s="33" t="s">
        <v>124</v>
      </c>
      <c r="F253" s="27" t="s">
        <v>104</v>
      </c>
      <c r="G253" s="33" t="s">
        <v>104</v>
      </c>
      <c r="H253" s="33" t="s">
        <v>104</v>
      </c>
      <c r="I253" s="27" t="s">
        <v>84</v>
      </c>
      <c r="J253" s="72">
        <v>677477.0625</v>
      </c>
      <c r="K253" s="72">
        <f>J253</f>
        <v>677477.0625</v>
      </c>
      <c r="L253" s="30"/>
      <c r="M253" s="30" t="s">
        <v>292</v>
      </c>
    </row>
    <row r="254" spans="1:14" s="41" customFormat="1" ht="42">
      <c r="A254" s="26">
        <v>5021304001</v>
      </c>
      <c r="B254" s="35" t="s">
        <v>114</v>
      </c>
      <c r="C254" s="26" t="s">
        <v>111</v>
      </c>
      <c r="D254" s="27" t="s">
        <v>43</v>
      </c>
      <c r="E254" s="33" t="s">
        <v>124</v>
      </c>
      <c r="F254" s="27" t="s">
        <v>104</v>
      </c>
      <c r="G254" s="33" t="s">
        <v>104</v>
      </c>
      <c r="H254" s="33" t="s">
        <v>104</v>
      </c>
      <c r="I254" s="27" t="s">
        <v>84</v>
      </c>
      <c r="J254" s="29">
        <v>9000</v>
      </c>
      <c r="K254" s="29">
        <f t="shared" ref="K254:K283" si="13">J254</f>
        <v>9000</v>
      </c>
      <c r="L254" s="30"/>
      <c r="M254" s="30"/>
    </row>
    <row r="255" spans="1:14" s="41" customFormat="1" ht="42">
      <c r="A255" s="26">
        <v>5021304001</v>
      </c>
      <c r="B255" s="36" t="s">
        <v>114</v>
      </c>
      <c r="C255" s="26" t="s">
        <v>105</v>
      </c>
      <c r="D255" s="27" t="s">
        <v>43</v>
      </c>
      <c r="E255" s="33" t="s">
        <v>133</v>
      </c>
      <c r="F255" s="27" t="s">
        <v>104</v>
      </c>
      <c r="G255" s="33" t="s">
        <v>104</v>
      </c>
      <c r="H255" s="33" t="s">
        <v>104</v>
      </c>
      <c r="I255" s="27" t="s">
        <v>84</v>
      </c>
      <c r="J255" s="29">
        <v>100000</v>
      </c>
      <c r="K255" s="29">
        <f t="shared" si="13"/>
        <v>100000</v>
      </c>
      <c r="L255" s="30"/>
      <c r="M255" s="30"/>
    </row>
    <row r="256" spans="1:14" s="41" customFormat="1" ht="42">
      <c r="A256" s="26">
        <v>5021304001</v>
      </c>
      <c r="B256" s="36" t="s">
        <v>114</v>
      </c>
      <c r="C256" s="26" t="s">
        <v>148</v>
      </c>
      <c r="D256" s="27" t="s">
        <v>43</v>
      </c>
      <c r="E256" s="33" t="s">
        <v>122</v>
      </c>
      <c r="F256" s="27" t="s">
        <v>104</v>
      </c>
      <c r="G256" s="33" t="s">
        <v>104</v>
      </c>
      <c r="H256" s="33" t="s">
        <v>104</v>
      </c>
      <c r="I256" s="27" t="s">
        <v>84</v>
      </c>
      <c r="J256" s="29">
        <v>60000</v>
      </c>
      <c r="K256" s="29">
        <f t="shared" si="13"/>
        <v>60000</v>
      </c>
      <c r="L256" s="30"/>
      <c r="M256" s="30"/>
    </row>
    <row r="257" spans="1:13" s="41" customFormat="1" ht="42">
      <c r="A257" s="26">
        <v>5021304001</v>
      </c>
      <c r="B257" s="36" t="s">
        <v>114</v>
      </c>
      <c r="C257" s="26" t="s">
        <v>198</v>
      </c>
      <c r="D257" s="27" t="s">
        <v>43</v>
      </c>
      <c r="E257" s="33" t="s">
        <v>122</v>
      </c>
      <c r="F257" s="27" t="s">
        <v>104</v>
      </c>
      <c r="G257" s="33" t="s">
        <v>104</v>
      </c>
      <c r="H257" s="33" t="s">
        <v>104</v>
      </c>
      <c r="I257" s="27" t="s">
        <v>84</v>
      </c>
      <c r="J257" s="29">
        <v>14000</v>
      </c>
      <c r="K257" s="29">
        <f t="shared" si="13"/>
        <v>14000</v>
      </c>
      <c r="L257" s="30"/>
      <c r="M257" s="30"/>
    </row>
    <row r="258" spans="1:13" s="41" customFormat="1" ht="42">
      <c r="A258" s="26">
        <v>5021304001</v>
      </c>
      <c r="B258" s="36" t="s">
        <v>114</v>
      </c>
      <c r="C258" s="26" t="s">
        <v>220</v>
      </c>
      <c r="D258" s="27" t="s">
        <v>43</v>
      </c>
      <c r="E258" s="33" t="s">
        <v>146</v>
      </c>
      <c r="F258" s="27" t="s">
        <v>104</v>
      </c>
      <c r="G258" s="33" t="s">
        <v>104</v>
      </c>
      <c r="H258" s="33" t="s">
        <v>104</v>
      </c>
      <c r="I258" s="27" t="s">
        <v>84</v>
      </c>
      <c r="J258" s="29">
        <v>150000</v>
      </c>
      <c r="K258" s="29">
        <f t="shared" si="13"/>
        <v>150000</v>
      </c>
      <c r="L258" s="30"/>
      <c r="M258" s="30"/>
    </row>
    <row r="259" spans="1:13" s="41" customFormat="1" ht="42">
      <c r="A259" s="26">
        <v>5021304001</v>
      </c>
      <c r="B259" s="36" t="s">
        <v>114</v>
      </c>
      <c r="C259" s="26" t="s">
        <v>225</v>
      </c>
      <c r="D259" s="27" t="s">
        <v>43</v>
      </c>
      <c r="E259" s="33" t="s">
        <v>115</v>
      </c>
      <c r="F259" s="27" t="s">
        <v>104</v>
      </c>
      <c r="G259" s="33" t="s">
        <v>104</v>
      </c>
      <c r="H259" s="33" t="s">
        <v>104</v>
      </c>
      <c r="I259" s="27" t="s">
        <v>84</v>
      </c>
      <c r="J259" s="29">
        <v>79896</v>
      </c>
      <c r="K259" s="29">
        <f t="shared" si="13"/>
        <v>79896</v>
      </c>
      <c r="L259" s="30"/>
      <c r="M259" s="30"/>
    </row>
    <row r="260" spans="1:13" s="41" customFormat="1" ht="56">
      <c r="A260" s="26">
        <v>5021304001</v>
      </c>
      <c r="B260" s="36" t="s">
        <v>114</v>
      </c>
      <c r="C260" s="26" t="s">
        <v>380</v>
      </c>
      <c r="D260" s="27" t="s">
        <v>43</v>
      </c>
      <c r="E260" s="33" t="s">
        <v>381</v>
      </c>
      <c r="F260" s="27" t="s">
        <v>104</v>
      </c>
      <c r="G260" s="33" t="s">
        <v>104</v>
      </c>
      <c r="H260" s="33" t="s">
        <v>104</v>
      </c>
      <c r="I260" s="27" t="s">
        <v>84</v>
      </c>
      <c r="J260" s="29">
        <f>565398.27+184165</f>
        <v>749563.27</v>
      </c>
      <c r="K260" s="29">
        <f t="shared" si="13"/>
        <v>749563.27</v>
      </c>
      <c r="L260" s="30"/>
      <c r="M260" s="30" t="s">
        <v>382</v>
      </c>
    </row>
    <row r="261" spans="1:13" s="41" customFormat="1" ht="42">
      <c r="A261" s="26">
        <v>5021304001</v>
      </c>
      <c r="B261" s="36" t="s">
        <v>114</v>
      </c>
      <c r="C261" s="26" t="s">
        <v>255</v>
      </c>
      <c r="D261" s="27" t="s">
        <v>43</v>
      </c>
      <c r="E261" s="33" t="s">
        <v>124</v>
      </c>
      <c r="F261" s="27" t="s">
        <v>104</v>
      </c>
      <c r="G261" s="33" t="s">
        <v>104</v>
      </c>
      <c r="H261" s="33" t="s">
        <v>104</v>
      </c>
      <c r="I261" s="27" t="s">
        <v>84</v>
      </c>
      <c r="J261" s="29">
        <v>5500</v>
      </c>
      <c r="K261" s="29">
        <f t="shared" si="13"/>
        <v>5500</v>
      </c>
      <c r="L261" s="30"/>
      <c r="M261" s="30"/>
    </row>
    <row r="262" spans="1:13" s="41" customFormat="1" ht="42">
      <c r="A262" s="26">
        <v>5021399099</v>
      </c>
      <c r="B262" s="35" t="s">
        <v>134</v>
      </c>
      <c r="C262" s="26" t="s">
        <v>105</v>
      </c>
      <c r="D262" s="27" t="s">
        <v>43</v>
      </c>
      <c r="E262" s="33" t="s">
        <v>133</v>
      </c>
      <c r="F262" s="27" t="s">
        <v>104</v>
      </c>
      <c r="G262" s="33" t="s">
        <v>104</v>
      </c>
      <c r="H262" s="33" t="s">
        <v>104</v>
      </c>
      <c r="I262" s="27" t="s">
        <v>84</v>
      </c>
      <c r="J262" s="29">
        <v>700000</v>
      </c>
      <c r="K262" s="29">
        <f t="shared" si="13"/>
        <v>700000</v>
      </c>
      <c r="L262" s="30"/>
      <c r="M262" s="30"/>
    </row>
    <row r="263" spans="1:13" s="41" customFormat="1" ht="28">
      <c r="A263" s="26">
        <v>5021399099</v>
      </c>
      <c r="B263" s="36" t="s">
        <v>134</v>
      </c>
      <c r="C263" s="26" t="s">
        <v>148</v>
      </c>
      <c r="D263" s="27" t="s">
        <v>43</v>
      </c>
      <c r="E263" s="33" t="s">
        <v>122</v>
      </c>
      <c r="F263" s="27" t="s">
        <v>104</v>
      </c>
      <c r="G263" s="33" t="s">
        <v>104</v>
      </c>
      <c r="H263" s="33" t="s">
        <v>104</v>
      </c>
      <c r="I263" s="27" t="s">
        <v>84</v>
      </c>
      <c r="J263" s="29">
        <v>20000</v>
      </c>
      <c r="K263" s="29">
        <f t="shared" si="13"/>
        <v>20000</v>
      </c>
      <c r="L263" s="30"/>
      <c r="M263" s="30"/>
    </row>
    <row r="264" spans="1:13" s="41" customFormat="1" ht="28">
      <c r="A264" s="26">
        <v>5021399099</v>
      </c>
      <c r="B264" s="36" t="s">
        <v>134</v>
      </c>
      <c r="C264" s="26" t="s">
        <v>212</v>
      </c>
      <c r="D264" s="27" t="s">
        <v>43</v>
      </c>
      <c r="E264" s="33" t="s">
        <v>216</v>
      </c>
      <c r="F264" s="27" t="s">
        <v>104</v>
      </c>
      <c r="G264" s="33" t="s">
        <v>104</v>
      </c>
      <c r="H264" s="33" t="s">
        <v>104</v>
      </c>
      <c r="I264" s="27" t="s">
        <v>84</v>
      </c>
      <c r="J264" s="29">
        <v>200000</v>
      </c>
      <c r="K264" s="29">
        <f t="shared" si="13"/>
        <v>200000</v>
      </c>
      <c r="L264" s="30"/>
      <c r="M264" s="30"/>
    </row>
    <row r="265" spans="1:13" s="41" customFormat="1" ht="42">
      <c r="A265" s="26">
        <v>5021399099</v>
      </c>
      <c r="B265" s="36" t="s">
        <v>134</v>
      </c>
      <c r="C265" s="26" t="s">
        <v>220</v>
      </c>
      <c r="D265" s="27" t="s">
        <v>43</v>
      </c>
      <c r="E265" s="33" t="s">
        <v>146</v>
      </c>
      <c r="F265" s="27" t="s">
        <v>104</v>
      </c>
      <c r="G265" s="33" t="s">
        <v>104</v>
      </c>
      <c r="H265" s="33" t="s">
        <v>104</v>
      </c>
      <c r="I265" s="27" t="s">
        <v>84</v>
      </c>
      <c r="J265" s="29">
        <v>100000</v>
      </c>
      <c r="K265" s="29">
        <f t="shared" si="13"/>
        <v>100000</v>
      </c>
      <c r="L265" s="30"/>
      <c r="M265" s="30"/>
    </row>
    <row r="266" spans="1:13" s="41" customFormat="1" ht="28">
      <c r="A266" s="26">
        <v>5021399099</v>
      </c>
      <c r="B266" s="36" t="s">
        <v>134</v>
      </c>
      <c r="C266" s="26" t="s">
        <v>220</v>
      </c>
      <c r="D266" s="27" t="s">
        <v>43</v>
      </c>
      <c r="E266" s="33" t="s">
        <v>116</v>
      </c>
      <c r="F266" s="27" t="s">
        <v>104</v>
      </c>
      <c r="G266" s="33" t="s">
        <v>104</v>
      </c>
      <c r="H266" s="33" t="s">
        <v>104</v>
      </c>
      <c r="I266" s="27" t="s">
        <v>84</v>
      </c>
      <c r="J266" s="29">
        <v>24000</v>
      </c>
      <c r="K266" s="29">
        <f t="shared" si="13"/>
        <v>24000</v>
      </c>
      <c r="L266" s="30"/>
      <c r="M266" s="30"/>
    </row>
    <row r="267" spans="1:13" s="41" customFormat="1" ht="28">
      <c r="A267" s="26">
        <v>5029999099</v>
      </c>
      <c r="B267" s="35" t="s">
        <v>150</v>
      </c>
      <c r="C267" s="26" t="s">
        <v>148</v>
      </c>
      <c r="D267" s="27" t="s">
        <v>43</v>
      </c>
      <c r="E267" s="80" t="s">
        <v>303</v>
      </c>
      <c r="F267" s="27" t="s">
        <v>104</v>
      </c>
      <c r="G267" s="33" t="s">
        <v>104</v>
      </c>
      <c r="H267" s="33" t="s">
        <v>104</v>
      </c>
      <c r="I267" s="27" t="s">
        <v>84</v>
      </c>
      <c r="J267" s="29">
        <v>400000</v>
      </c>
      <c r="K267" s="29">
        <f t="shared" si="13"/>
        <v>400000</v>
      </c>
      <c r="L267" s="30"/>
      <c r="M267" s="30"/>
    </row>
    <row r="268" spans="1:13" s="41" customFormat="1" ht="42">
      <c r="A268" s="26">
        <v>5029999099</v>
      </c>
      <c r="B268" s="36" t="s">
        <v>150</v>
      </c>
      <c r="C268" s="26" t="s">
        <v>148</v>
      </c>
      <c r="D268" s="27" t="s">
        <v>43</v>
      </c>
      <c r="E268" s="33" t="s">
        <v>146</v>
      </c>
      <c r="F268" s="27" t="s">
        <v>104</v>
      </c>
      <c r="G268" s="33" t="s">
        <v>104</v>
      </c>
      <c r="H268" s="33" t="s">
        <v>104</v>
      </c>
      <c r="I268" s="27" t="s">
        <v>84</v>
      </c>
      <c r="J268" s="29">
        <v>300000</v>
      </c>
      <c r="K268" s="29">
        <f t="shared" si="13"/>
        <v>300000</v>
      </c>
      <c r="L268" s="30"/>
      <c r="M268" s="30" t="s">
        <v>306</v>
      </c>
    </row>
    <row r="269" spans="1:13" s="41" customFormat="1" ht="42">
      <c r="A269" s="26">
        <v>5029999099</v>
      </c>
      <c r="B269" s="36" t="s">
        <v>150</v>
      </c>
      <c r="C269" s="26" t="s">
        <v>177</v>
      </c>
      <c r="D269" s="27" t="s">
        <v>43</v>
      </c>
      <c r="E269" s="33" t="s">
        <v>146</v>
      </c>
      <c r="F269" s="27" t="s">
        <v>104</v>
      </c>
      <c r="G269" s="33" t="s">
        <v>104</v>
      </c>
      <c r="H269" s="33" t="s">
        <v>104</v>
      </c>
      <c r="I269" s="27" t="s">
        <v>84</v>
      </c>
      <c r="J269" s="29">
        <v>300000</v>
      </c>
      <c r="K269" s="29">
        <f t="shared" si="13"/>
        <v>300000</v>
      </c>
      <c r="L269" s="30"/>
      <c r="M269" s="30" t="s">
        <v>375</v>
      </c>
    </row>
    <row r="270" spans="1:13" s="41" customFormat="1" ht="28">
      <c r="A270" s="26">
        <v>5029999099</v>
      </c>
      <c r="B270" s="36" t="s">
        <v>150</v>
      </c>
      <c r="C270" s="26" t="s">
        <v>198</v>
      </c>
      <c r="D270" s="27" t="s">
        <v>43</v>
      </c>
      <c r="E270" s="122" t="s">
        <v>369</v>
      </c>
      <c r="F270" s="27" t="s">
        <v>104</v>
      </c>
      <c r="G270" s="33" t="s">
        <v>104</v>
      </c>
      <c r="H270" s="33" t="s">
        <v>104</v>
      </c>
      <c r="I270" s="27" t="s">
        <v>84</v>
      </c>
      <c r="J270" s="29">
        <f>600000+161800+85960+240909+7185+11930</f>
        <v>1107784</v>
      </c>
      <c r="K270" s="29">
        <f t="shared" si="13"/>
        <v>1107784</v>
      </c>
      <c r="L270" s="30"/>
      <c r="M270" s="30" t="s">
        <v>375</v>
      </c>
    </row>
    <row r="271" spans="1:13" s="41" customFormat="1" ht="42">
      <c r="A271" s="26">
        <v>5029999099</v>
      </c>
      <c r="B271" s="36" t="s">
        <v>150</v>
      </c>
      <c r="C271" s="26" t="s">
        <v>220</v>
      </c>
      <c r="D271" s="27" t="s">
        <v>43</v>
      </c>
      <c r="E271" s="33" t="s">
        <v>146</v>
      </c>
      <c r="F271" s="27" t="s">
        <v>104</v>
      </c>
      <c r="G271" s="33" t="s">
        <v>104</v>
      </c>
      <c r="H271" s="33" t="s">
        <v>104</v>
      </c>
      <c r="I271" s="27" t="s">
        <v>84</v>
      </c>
      <c r="J271" s="29">
        <v>700000</v>
      </c>
      <c r="K271" s="29">
        <f t="shared" si="13"/>
        <v>700000</v>
      </c>
      <c r="L271" s="30"/>
      <c r="M271" s="30" t="s">
        <v>375</v>
      </c>
    </row>
    <row r="272" spans="1:13" s="41" customFormat="1" ht="42">
      <c r="A272" s="26">
        <v>5029999099</v>
      </c>
      <c r="B272" s="36" t="s">
        <v>150</v>
      </c>
      <c r="C272" s="26" t="s">
        <v>225</v>
      </c>
      <c r="D272" s="27" t="s">
        <v>43</v>
      </c>
      <c r="E272" s="33" t="s">
        <v>115</v>
      </c>
      <c r="F272" s="27" t="s">
        <v>104</v>
      </c>
      <c r="G272" s="33" t="s">
        <v>104</v>
      </c>
      <c r="H272" s="33" t="s">
        <v>104</v>
      </c>
      <c r="I272" s="27" t="s">
        <v>84</v>
      </c>
      <c r="J272" s="29">
        <v>132904</v>
      </c>
      <c r="K272" s="29">
        <f t="shared" si="13"/>
        <v>132904</v>
      </c>
      <c r="L272" s="30"/>
      <c r="M272" s="30" t="s">
        <v>375</v>
      </c>
    </row>
    <row r="273" spans="1:32" s="41" customFormat="1" ht="42">
      <c r="A273" s="26">
        <v>5029999099</v>
      </c>
      <c r="B273" s="36" t="s">
        <v>150</v>
      </c>
      <c r="C273" s="26" t="s">
        <v>255</v>
      </c>
      <c r="D273" s="27" t="s">
        <v>43</v>
      </c>
      <c r="E273" s="33" t="s">
        <v>128</v>
      </c>
      <c r="F273" s="27" t="s">
        <v>104</v>
      </c>
      <c r="G273" s="33" t="s">
        <v>104</v>
      </c>
      <c r="H273" s="33" t="s">
        <v>104</v>
      </c>
      <c r="I273" s="27" t="s">
        <v>84</v>
      </c>
      <c r="J273" s="29">
        <v>23331.63</v>
      </c>
      <c r="K273" s="29">
        <f t="shared" si="13"/>
        <v>23331.63</v>
      </c>
      <c r="L273" s="30"/>
      <c r="M273" s="30" t="s">
        <v>375</v>
      </c>
    </row>
    <row r="274" spans="1:32" s="41" customFormat="1" ht="42">
      <c r="A274" s="26">
        <v>5020322001</v>
      </c>
      <c r="B274" s="25" t="s">
        <v>131</v>
      </c>
      <c r="C274" s="26" t="s">
        <v>105</v>
      </c>
      <c r="D274" s="27" t="s">
        <v>43</v>
      </c>
      <c r="E274" s="33" t="s">
        <v>122</v>
      </c>
      <c r="F274" s="27" t="s">
        <v>104</v>
      </c>
      <c r="G274" s="33" t="s">
        <v>104</v>
      </c>
      <c r="H274" s="33" t="s">
        <v>104</v>
      </c>
      <c r="I274" s="27" t="s">
        <v>84</v>
      </c>
      <c r="J274" s="29">
        <v>690000</v>
      </c>
      <c r="K274" s="29">
        <f t="shared" si="13"/>
        <v>690000</v>
      </c>
      <c r="L274" s="30"/>
      <c r="M274" s="30" t="s">
        <v>200</v>
      </c>
    </row>
    <row r="275" spans="1:32" s="41" customFormat="1" ht="42">
      <c r="A275" s="26">
        <v>5020322001</v>
      </c>
      <c r="B275" s="26" t="s">
        <v>131</v>
      </c>
      <c r="C275" s="26" t="s">
        <v>105</v>
      </c>
      <c r="D275" s="27" t="s">
        <v>43</v>
      </c>
      <c r="E275" s="80" t="s">
        <v>310</v>
      </c>
      <c r="F275" s="27" t="s">
        <v>104</v>
      </c>
      <c r="G275" s="33" t="s">
        <v>104</v>
      </c>
      <c r="H275" s="33" t="s">
        <v>104</v>
      </c>
      <c r="I275" s="27" t="s">
        <v>84</v>
      </c>
      <c r="J275" s="29">
        <v>20000</v>
      </c>
      <c r="K275" s="29">
        <f t="shared" si="13"/>
        <v>20000</v>
      </c>
      <c r="L275" s="30"/>
      <c r="M275" s="30" t="s">
        <v>237</v>
      </c>
    </row>
    <row r="276" spans="1:32" s="41" customFormat="1" ht="42">
      <c r="A276" s="26">
        <v>5020322001</v>
      </c>
      <c r="B276" s="26" t="s">
        <v>131</v>
      </c>
      <c r="C276" s="26" t="s">
        <v>198</v>
      </c>
      <c r="D276" s="27" t="s">
        <v>43</v>
      </c>
      <c r="E276" s="33" t="s">
        <v>122</v>
      </c>
      <c r="F276" s="27" t="s">
        <v>104</v>
      </c>
      <c r="G276" s="33" t="s">
        <v>104</v>
      </c>
      <c r="H276" s="33" t="s">
        <v>104</v>
      </c>
      <c r="I276" s="27" t="s">
        <v>84</v>
      </c>
      <c r="J276" s="29">
        <v>250000</v>
      </c>
      <c r="K276" s="29">
        <f t="shared" si="13"/>
        <v>250000</v>
      </c>
      <c r="L276" s="30"/>
      <c r="M276" s="30" t="s">
        <v>237</v>
      </c>
    </row>
    <row r="277" spans="1:32" s="41" customFormat="1" ht="42">
      <c r="A277" s="26">
        <v>5020322001</v>
      </c>
      <c r="B277" s="26" t="s">
        <v>131</v>
      </c>
      <c r="C277" s="26" t="s">
        <v>235</v>
      </c>
      <c r="D277" s="27" t="s">
        <v>43</v>
      </c>
      <c r="E277" s="33" t="s">
        <v>139</v>
      </c>
      <c r="F277" s="27" t="s">
        <v>104</v>
      </c>
      <c r="G277" s="33" t="s">
        <v>104</v>
      </c>
      <c r="H277" s="33" t="s">
        <v>104</v>
      </c>
      <c r="I277" s="27" t="s">
        <v>84</v>
      </c>
      <c r="J277" s="29">
        <v>49999.99</v>
      </c>
      <c r="K277" s="29">
        <f t="shared" si="13"/>
        <v>49999.99</v>
      </c>
      <c r="L277" s="30"/>
      <c r="M277" s="30" t="s">
        <v>192</v>
      </c>
    </row>
    <row r="278" spans="1:32" s="41" customFormat="1" ht="28">
      <c r="A278" s="26">
        <v>5020321002</v>
      </c>
      <c r="B278" s="35" t="s">
        <v>202</v>
      </c>
      <c r="C278" s="26" t="s">
        <v>190</v>
      </c>
      <c r="D278" s="27" t="s">
        <v>43</v>
      </c>
      <c r="E278" s="26" t="s">
        <v>122</v>
      </c>
      <c r="F278" s="27" t="s">
        <v>104</v>
      </c>
      <c r="G278" s="33" t="s">
        <v>104</v>
      </c>
      <c r="H278" s="33" t="s">
        <v>104</v>
      </c>
      <c r="I278" s="27" t="s">
        <v>84</v>
      </c>
      <c r="J278" s="29">
        <v>547387</v>
      </c>
      <c r="K278" s="29">
        <f t="shared" si="13"/>
        <v>547387</v>
      </c>
      <c r="L278" s="30"/>
      <c r="M278" s="30" t="s">
        <v>201</v>
      </c>
    </row>
    <row r="279" spans="1:32" s="41" customFormat="1" ht="28">
      <c r="A279" s="26">
        <v>5020321002</v>
      </c>
      <c r="B279" s="36" t="s">
        <v>202</v>
      </c>
      <c r="C279" s="26" t="s">
        <v>198</v>
      </c>
      <c r="D279" s="27" t="s">
        <v>43</v>
      </c>
      <c r="E279" s="33" t="s">
        <v>122</v>
      </c>
      <c r="F279" s="27" t="s">
        <v>104</v>
      </c>
      <c r="G279" s="33" t="s">
        <v>104</v>
      </c>
      <c r="H279" s="33" t="s">
        <v>104</v>
      </c>
      <c r="I279" s="27" t="s">
        <v>84</v>
      </c>
      <c r="J279" s="29">
        <v>49980</v>
      </c>
      <c r="K279" s="29">
        <f t="shared" si="13"/>
        <v>49980</v>
      </c>
      <c r="L279" s="30"/>
      <c r="M279" s="30" t="s">
        <v>238</v>
      </c>
    </row>
    <row r="280" spans="1:32" s="41" customFormat="1" ht="28">
      <c r="A280" s="26">
        <v>5020321002</v>
      </c>
      <c r="B280" s="36" t="s">
        <v>202</v>
      </c>
      <c r="C280" s="26" t="s">
        <v>235</v>
      </c>
      <c r="D280" s="27" t="s">
        <v>43</v>
      </c>
      <c r="E280" s="33" t="s">
        <v>152</v>
      </c>
      <c r="F280" s="27" t="s">
        <v>104</v>
      </c>
      <c r="G280" s="33" t="s">
        <v>104</v>
      </c>
      <c r="H280" s="33" t="s">
        <v>104</v>
      </c>
      <c r="I280" s="27" t="s">
        <v>84</v>
      </c>
      <c r="J280" s="29">
        <f>149999.97+49999.99</f>
        <v>199999.96</v>
      </c>
      <c r="K280" s="29">
        <f t="shared" si="13"/>
        <v>199999.96</v>
      </c>
      <c r="L280" s="30"/>
      <c r="M280" s="30" t="s">
        <v>243</v>
      </c>
    </row>
    <row r="281" spans="1:32" s="41" customFormat="1" ht="28">
      <c r="A281" s="26">
        <v>5020321002</v>
      </c>
      <c r="B281" s="36" t="s">
        <v>202</v>
      </c>
      <c r="C281" s="26" t="s">
        <v>240</v>
      </c>
      <c r="D281" s="27" t="s">
        <v>43</v>
      </c>
      <c r="E281" s="33" t="s">
        <v>116</v>
      </c>
      <c r="F281" s="27" t="s">
        <v>104</v>
      </c>
      <c r="G281" s="33" t="s">
        <v>104</v>
      </c>
      <c r="H281" s="33" t="s">
        <v>104</v>
      </c>
      <c r="I281" s="27" t="s">
        <v>84</v>
      </c>
      <c r="J281" s="29">
        <v>25000</v>
      </c>
      <c r="K281" s="29">
        <f t="shared" si="13"/>
        <v>25000</v>
      </c>
      <c r="L281" s="30"/>
      <c r="M281" s="30"/>
    </row>
    <row r="282" spans="1:32" s="41" customFormat="1">
      <c r="A282" s="26">
        <v>5029907099</v>
      </c>
      <c r="B282" s="25" t="s">
        <v>168</v>
      </c>
      <c r="C282" s="26" t="s">
        <v>169</v>
      </c>
      <c r="D282" s="27" t="s">
        <v>43</v>
      </c>
      <c r="E282" s="33" t="s">
        <v>121</v>
      </c>
      <c r="F282" s="27" t="s">
        <v>104</v>
      </c>
      <c r="G282" s="33" t="s">
        <v>104</v>
      </c>
      <c r="H282" s="33" t="s">
        <v>104</v>
      </c>
      <c r="I282" s="27" t="s">
        <v>84</v>
      </c>
      <c r="J282" s="29">
        <v>200000</v>
      </c>
      <c r="K282" s="29">
        <f t="shared" si="13"/>
        <v>200000</v>
      </c>
      <c r="L282" s="30"/>
      <c r="M282" s="30"/>
    </row>
    <row r="283" spans="1:32" s="41" customFormat="1" ht="28">
      <c r="A283" s="26">
        <v>5020399000</v>
      </c>
      <c r="B283" s="25" t="s">
        <v>257</v>
      </c>
      <c r="C283" s="26" t="s">
        <v>255</v>
      </c>
      <c r="D283" s="27" t="s">
        <v>43</v>
      </c>
      <c r="E283" s="33" t="s">
        <v>116</v>
      </c>
      <c r="F283" s="27" t="s">
        <v>104</v>
      </c>
      <c r="G283" s="33" t="s">
        <v>104</v>
      </c>
      <c r="H283" s="33" t="s">
        <v>104</v>
      </c>
      <c r="I283" s="27" t="s">
        <v>84</v>
      </c>
      <c r="J283" s="29">
        <v>28000</v>
      </c>
      <c r="K283" s="29">
        <f t="shared" si="13"/>
        <v>28000</v>
      </c>
      <c r="L283" s="30"/>
      <c r="M283" s="30"/>
    </row>
    <row r="284" spans="1:32" s="41" customFormat="1" ht="28">
      <c r="A284" s="30">
        <v>5020399000</v>
      </c>
      <c r="B284" s="30" t="s">
        <v>184</v>
      </c>
      <c r="C284" s="30" t="s">
        <v>177</v>
      </c>
      <c r="D284" s="30" t="s">
        <v>43</v>
      </c>
      <c r="E284" s="130" t="s">
        <v>122</v>
      </c>
      <c r="F284" s="130" t="s">
        <v>104</v>
      </c>
      <c r="G284" s="130" t="s">
        <v>104</v>
      </c>
      <c r="H284" s="130" t="s">
        <v>104</v>
      </c>
      <c r="I284" s="130" t="s">
        <v>84</v>
      </c>
      <c r="J284" s="29">
        <v>6000</v>
      </c>
      <c r="K284" s="29">
        <v>6000</v>
      </c>
      <c r="L284" s="30"/>
      <c r="M284" s="30"/>
    </row>
    <row r="285" spans="1:32" s="41" customFormat="1" ht="42">
      <c r="A285" s="30">
        <v>5020503000</v>
      </c>
      <c r="B285" s="30" t="s">
        <v>203</v>
      </c>
      <c r="C285" s="30" t="s">
        <v>198</v>
      </c>
      <c r="D285" s="30" t="s">
        <v>43</v>
      </c>
      <c r="E285" s="130" t="s">
        <v>146</v>
      </c>
      <c r="F285" s="130" t="s">
        <v>104</v>
      </c>
      <c r="G285" s="130" t="s">
        <v>104</v>
      </c>
      <c r="H285" s="130" t="s">
        <v>104</v>
      </c>
      <c r="I285" s="130" t="s">
        <v>84</v>
      </c>
      <c r="J285" s="29">
        <v>288000</v>
      </c>
      <c r="K285" s="29">
        <v>288000</v>
      </c>
      <c r="L285" s="30"/>
      <c r="M285" s="30" t="s">
        <v>204</v>
      </c>
    </row>
    <row r="286" spans="1:32" s="1" customFormat="1" ht="28">
      <c r="A286" s="30">
        <v>5029901000</v>
      </c>
      <c r="B286" s="30" t="s">
        <v>205</v>
      </c>
      <c r="C286" s="30" t="s">
        <v>198</v>
      </c>
      <c r="D286" s="30" t="s">
        <v>43</v>
      </c>
      <c r="E286" s="130" t="s">
        <v>122</v>
      </c>
      <c r="F286" s="130" t="s">
        <v>104</v>
      </c>
      <c r="G286" s="130" t="s">
        <v>104</v>
      </c>
      <c r="H286" s="130" t="s">
        <v>104</v>
      </c>
      <c r="I286" s="130" t="s">
        <v>84</v>
      </c>
      <c r="J286" s="29">
        <v>50000</v>
      </c>
      <c r="K286" s="29">
        <v>50000</v>
      </c>
      <c r="L286" s="30"/>
      <c r="M286" s="30"/>
      <c r="AC286" s="22"/>
      <c r="AD286" s="22"/>
      <c r="AE286" s="22"/>
      <c r="AF286" s="22"/>
    </row>
    <row r="287" spans="1:32" s="1" customFormat="1" ht="28">
      <c r="A287" s="30">
        <v>5020399000</v>
      </c>
      <c r="B287" s="30" t="s">
        <v>244</v>
      </c>
      <c r="C287" s="30" t="s">
        <v>240</v>
      </c>
      <c r="D287" s="30" t="s">
        <v>43</v>
      </c>
      <c r="E287" s="130" t="s">
        <v>121</v>
      </c>
      <c r="F287" s="130" t="s">
        <v>104</v>
      </c>
      <c r="G287" s="130" t="s">
        <v>104</v>
      </c>
      <c r="H287" s="130" t="s">
        <v>104</v>
      </c>
      <c r="I287" s="130" t="s">
        <v>84</v>
      </c>
      <c r="J287" s="29">
        <v>12000</v>
      </c>
      <c r="K287" s="29">
        <v>12000</v>
      </c>
      <c r="L287" s="30"/>
      <c r="M287" s="30" t="s">
        <v>245</v>
      </c>
      <c r="AC287" s="22"/>
      <c r="AD287" s="22"/>
      <c r="AE287" s="22"/>
      <c r="AF287" s="22"/>
    </row>
    <row r="288" spans="1:32" ht="28.5" customHeight="1">
      <c r="A288" s="97" t="s">
        <v>384</v>
      </c>
      <c r="B288" s="43"/>
      <c r="C288" s="43"/>
      <c r="D288" s="43"/>
      <c r="E288" s="43"/>
      <c r="F288" s="44"/>
      <c r="G288" s="44"/>
      <c r="H288" s="44"/>
      <c r="I288" s="42"/>
      <c r="J288" s="110">
        <f>SUM(J5:J287)</f>
        <v>486808960.93969995</v>
      </c>
      <c r="K288" s="110">
        <f>SUM(K5:K287)</f>
        <v>486808960.93969995</v>
      </c>
      <c r="L288" s="43"/>
      <c r="M288" s="24"/>
    </row>
    <row r="289" spans="1:254" s="59" customFormat="1" ht="15.5">
      <c r="A289" s="22"/>
      <c r="B289" s="1"/>
      <c r="C289" s="1"/>
      <c r="D289" s="1"/>
      <c r="E289" s="1"/>
      <c r="F289" s="38"/>
      <c r="G289" s="38"/>
      <c r="H289" s="38"/>
      <c r="I289" s="22"/>
      <c r="J289" s="45"/>
      <c r="K289" s="45"/>
      <c r="L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50"/>
      <c r="DV289" s="50"/>
      <c r="DW289" s="50"/>
      <c r="DX289" s="50"/>
      <c r="DY289" s="50"/>
      <c r="DZ289" s="50"/>
      <c r="EA289" s="50"/>
      <c r="EB289" s="50"/>
      <c r="EC289" s="50"/>
      <c r="ED289" s="50"/>
      <c r="EE289" s="50"/>
      <c r="EF289" s="50"/>
      <c r="EG289" s="50"/>
      <c r="EH289" s="50"/>
      <c r="EI289" s="50"/>
      <c r="EJ289" s="50"/>
      <c r="EK289" s="50"/>
      <c r="EL289" s="50"/>
      <c r="EM289" s="50"/>
      <c r="EN289" s="50"/>
      <c r="EO289" s="50"/>
      <c r="EP289" s="50"/>
      <c r="EQ289" s="50"/>
      <c r="ER289" s="50"/>
      <c r="ES289" s="50"/>
      <c r="ET289" s="50"/>
      <c r="EU289" s="50"/>
      <c r="EV289" s="50"/>
      <c r="EW289" s="50"/>
      <c r="EX289" s="50"/>
      <c r="EY289" s="50"/>
      <c r="EZ289" s="50"/>
      <c r="FA289" s="50"/>
      <c r="FB289" s="50"/>
      <c r="FC289" s="50"/>
      <c r="FD289" s="50"/>
      <c r="FE289" s="50"/>
      <c r="FF289" s="50"/>
      <c r="FG289" s="50"/>
      <c r="FH289" s="50"/>
      <c r="FI289" s="50"/>
      <c r="FJ289" s="50"/>
      <c r="FK289" s="50"/>
      <c r="FL289" s="50"/>
      <c r="FM289" s="50"/>
      <c r="FN289" s="50"/>
      <c r="FO289" s="50"/>
      <c r="FP289" s="50"/>
      <c r="FQ289" s="50"/>
      <c r="FR289" s="50"/>
      <c r="FS289" s="50"/>
      <c r="FT289" s="50"/>
      <c r="FU289" s="50"/>
      <c r="FV289" s="50"/>
      <c r="FW289" s="50"/>
      <c r="FX289" s="50"/>
      <c r="FY289" s="50"/>
      <c r="FZ289" s="50"/>
      <c r="GA289" s="50"/>
      <c r="GB289" s="50"/>
      <c r="GC289" s="50"/>
      <c r="GD289" s="50"/>
      <c r="GE289" s="50"/>
      <c r="GF289" s="50"/>
      <c r="GG289" s="50"/>
      <c r="GH289" s="50"/>
      <c r="GI289" s="50"/>
      <c r="GJ289" s="50"/>
      <c r="GK289" s="50"/>
      <c r="GL289" s="50"/>
      <c r="GM289" s="50"/>
      <c r="GN289" s="50"/>
      <c r="GO289" s="50"/>
      <c r="GP289" s="50"/>
      <c r="GQ289" s="50"/>
      <c r="GR289" s="50"/>
      <c r="GS289" s="50"/>
      <c r="GT289" s="50"/>
      <c r="GU289" s="50"/>
      <c r="GV289" s="50"/>
      <c r="GW289" s="50"/>
      <c r="GX289" s="50"/>
      <c r="GY289" s="50"/>
      <c r="GZ289" s="50"/>
      <c r="HA289" s="50"/>
      <c r="HB289" s="50"/>
      <c r="HC289" s="50"/>
      <c r="HD289" s="50"/>
      <c r="HE289" s="50"/>
      <c r="HF289" s="50"/>
      <c r="HG289" s="50"/>
      <c r="HH289" s="50"/>
      <c r="HI289" s="50"/>
      <c r="HJ289" s="50"/>
      <c r="HK289" s="50"/>
      <c r="HL289" s="50"/>
      <c r="HM289" s="50"/>
      <c r="HN289" s="50"/>
      <c r="HO289" s="50"/>
      <c r="HP289" s="50"/>
      <c r="HQ289" s="50"/>
      <c r="HR289" s="50"/>
      <c r="HS289" s="50"/>
      <c r="HT289" s="50"/>
      <c r="HU289" s="50"/>
      <c r="HV289" s="50"/>
      <c r="HW289" s="50"/>
      <c r="HX289" s="50"/>
      <c r="HY289" s="50"/>
      <c r="HZ289" s="50"/>
      <c r="IA289" s="50"/>
      <c r="IB289" s="50"/>
      <c r="IC289" s="50"/>
      <c r="ID289" s="50"/>
      <c r="IE289" s="50"/>
      <c r="IF289" s="50"/>
      <c r="IG289" s="50"/>
      <c r="IH289" s="50"/>
      <c r="II289" s="50"/>
      <c r="IJ289" s="50"/>
      <c r="IK289" s="50"/>
      <c r="IL289" s="50"/>
      <c r="IM289" s="50"/>
      <c r="IN289" s="50"/>
      <c r="IO289" s="50"/>
      <c r="IP289" s="50"/>
      <c r="IQ289" s="50"/>
      <c r="IR289" s="50"/>
      <c r="IS289" s="50"/>
      <c r="IT289" s="50"/>
    </row>
    <row r="290" spans="1:254" s="59" customFormat="1" ht="15.5">
      <c r="A290" s="22"/>
      <c r="B290" s="1"/>
      <c r="C290" s="1"/>
      <c r="D290" s="1"/>
      <c r="E290" s="1"/>
      <c r="F290" s="38"/>
      <c r="G290" s="38"/>
      <c r="H290" s="38"/>
      <c r="I290" s="22"/>
      <c r="J290" s="45"/>
      <c r="K290" s="45"/>
      <c r="L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50"/>
      <c r="DV290" s="50"/>
      <c r="DW290" s="50"/>
      <c r="DX290" s="50"/>
      <c r="DY290" s="50"/>
      <c r="DZ290" s="50"/>
      <c r="EA290" s="50"/>
      <c r="EB290" s="50"/>
      <c r="EC290" s="50"/>
      <c r="ED290" s="50"/>
      <c r="EE290" s="50"/>
      <c r="EF290" s="50"/>
      <c r="EG290" s="50"/>
      <c r="EH290" s="50"/>
      <c r="EI290" s="50"/>
      <c r="EJ290" s="50"/>
      <c r="EK290" s="50"/>
      <c r="EL290" s="50"/>
      <c r="EM290" s="50"/>
      <c r="EN290" s="50"/>
      <c r="EO290" s="50"/>
      <c r="EP290" s="50"/>
      <c r="EQ290" s="50"/>
      <c r="ER290" s="50"/>
      <c r="ES290" s="50"/>
      <c r="ET290" s="50"/>
      <c r="EU290" s="50"/>
      <c r="EV290" s="50"/>
      <c r="EW290" s="50"/>
      <c r="EX290" s="50"/>
      <c r="EY290" s="50"/>
      <c r="EZ290" s="50"/>
      <c r="FA290" s="50"/>
      <c r="FB290" s="50"/>
      <c r="FC290" s="50"/>
      <c r="FD290" s="50"/>
      <c r="FE290" s="50"/>
      <c r="FF290" s="50"/>
      <c r="FG290" s="50"/>
      <c r="FH290" s="50"/>
      <c r="FI290" s="50"/>
      <c r="FJ290" s="50"/>
      <c r="FK290" s="50"/>
      <c r="FL290" s="50"/>
      <c r="FM290" s="50"/>
      <c r="FN290" s="50"/>
      <c r="FO290" s="50"/>
      <c r="FP290" s="50"/>
      <c r="FQ290" s="50"/>
      <c r="FR290" s="50"/>
      <c r="FS290" s="50"/>
      <c r="FT290" s="50"/>
      <c r="FU290" s="50"/>
      <c r="FV290" s="50"/>
      <c r="FW290" s="50"/>
      <c r="FX290" s="50"/>
      <c r="FY290" s="50"/>
      <c r="FZ290" s="50"/>
      <c r="GA290" s="50"/>
      <c r="GB290" s="50"/>
      <c r="GC290" s="50"/>
      <c r="GD290" s="50"/>
      <c r="GE290" s="50"/>
      <c r="GF290" s="50"/>
      <c r="GG290" s="50"/>
      <c r="GH290" s="50"/>
      <c r="GI290" s="50"/>
      <c r="GJ290" s="50"/>
      <c r="GK290" s="50"/>
      <c r="GL290" s="50"/>
      <c r="GM290" s="50"/>
      <c r="GN290" s="50"/>
      <c r="GO290" s="50"/>
      <c r="GP290" s="50"/>
      <c r="GQ290" s="50"/>
      <c r="GR290" s="50"/>
      <c r="GS290" s="50"/>
      <c r="GT290" s="50"/>
      <c r="GU290" s="50"/>
      <c r="GV290" s="50"/>
      <c r="GW290" s="50"/>
      <c r="GX290" s="50"/>
      <c r="GY290" s="50"/>
      <c r="GZ290" s="50"/>
      <c r="HA290" s="50"/>
      <c r="HB290" s="50"/>
      <c r="HC290" s="50"/>
      <c r="HD290" s="50"/>
      <c r="HE290" s="50"/>
      <c r="HF290" s="50"/>
      <c r="HG290" s="50"/>
      <c r="HH290" s="50"/>
      <c r="HI290" s="50"/>
      <c r="HJ290" s="50"/>
      <c r="HK290" s="50"/>
      <c r="HL290" s="50"/>
      <c r="HM290" s="50"/>
      <c r="HN290" s="50"/>
      <c r="HO290" s="50"/>
      <c r="HP290" s="50"/>
      <c r="HQ290" s="50"/>
      <c r="HR290" s="50"/>
      <c r="HS290" s="50"/>
      <c r="HT290" s="50"/>
      <c r="HU290" s="50"/>
      <c r="HV290" s="50"/>
      <c r="HW290" s="50"/>
      <c r="HX290" s="50"/>
      <c r="HY290" s="50"/>
      <c r="HZ290" s="50"/>
      <c r="IA290" s="50"/>
      <c r="IB290" s="50"/>
      <c r="IC290" s="50"/>
      <c r="ID290" s="50"/>
      <c r="IE290" s="50"/>
      <c r="IF290" s="50"/>
      <c r="IG290" s="50"/>
      <c r="IH290" s="50"/>
      <c r="II290" s="50"/>
      <c r="IJ290" s="50"/>
      <c r="IK290" s="50"/>
      <c r="IL290" s="50"/>
      <c r="IM290" s="50"/>
      <c r="IN290" s="50"/>
      <c r="IO290" s="50"/>
      <c r="IP290" s="50"/>
      <c r="IQ290" s="50"/>
      <c r="IR290" s="50"/>
      <c r="IS290" s="50"/>
      <c r="IT290" s="50"/>
    </row>
    <row r="291" spans="1:254" s="59" customFormat="1" ht="15.5">
      <c r="A291" s="22"/>
      <c r="B291" s="1"/>
      <c r="C291" s="1"/>
      <c r="D291" s="1"/>
      <c r="E291" s="1"/>
      <c r="F291" s="38"/>
      <c r="G291" s="38"/>
      <c r="H291" s="38"/>
      <c r="I291" s="22"/>
      <c r="J291" s="45"/>
      <c r="K291" s="45"/>
      <c r="L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50"/>
      <c r="DV291" s="50"/>
      <c r="DW291" s="50"/>
      <c r="DX291" s="50"/>
      <c r="DY291" s="50"/>
      <c r="DZ291" s="50"/>
      <c r="EA291" s="50"/>
      <c r="EB291" s="50"/>
      <c r="EC291" s="50"/>
      <c r="ED291" s="50"/>
      <c r="EE291" s="50"/>
      <c r="EF291" s="50"/>
      <c r="EG291" s="50"/>
      <c r="EH291" s="50"/>
      <c r="EI291" s="50"/>
      <c r="EJ291" s="50"/>
      <c r="EK291" s="50"/>
      <c r="EL291" s="50"/>
      <c r="EM291" s="50"/>
      <c r="EN291" s="50"/>
      <c r="EO291" s="50"/>
      <c r="EP291" s="50"/>
      <c r="EQ291" s="50"/>
      <c r="ER291" s="50"/>
      <c r="ES291" s="50"/>
      <c r="ET291" s="50"/>
      <c r="EU291" s="50"/>
      <c r="EV291" s="50"/>
      <c r="EW291" s="50"/>
      <c r="EX291" s="50"/>
      <c r="EY291" s="50"/>
      <c r="EZ291" s="50"/>
      <c r="FA291" s="50"/>
      <c r="FB291" s="50"/>
      <c r="FC291" s="50"/>
      <c r="FD291" s="50"/>
      <c r="FE291" s="50"/>
      <c r="FF291" s="50"/>
      <c r="FG291" s="50"/>
      <c r="FH291" s="50"/>
      <c r="FI291" s="50"/>
      <c r="FJ291" s="50"/>
      <c r="FK291" s="50"/>
      <c r="FL291" s="50"/>
      <c r="FM291" s="50"/>
      <c r="FN291" s="50"/>
      <c r="FO291" s="50"/>
      <c r="FP291" s="50"/>
      <c r="FQ291" s="50"/>
      <c r="FR291" s="50"/>
      <c r="FS291" s="50"/>
      <c r="FT291" s="50"/>
      <c r="FU291" s="50"/>
      <c r="FV291" s="50"/>
      <c r="FW291" s="50"/>
      <c r="FX291" s="50"/>
      <c r="FY291" s="50"/>
      <c r="FZ291" s="50"/>
      <c r="GA291" s="50"/>
      <c r="GB291" s="50"/>
      <c r="GC291" s="50"/>
      <c r="GD291" s="50"/>
      <c r="GE291" s="50"/>
      <c r="GF291" s="50"/>
      <c r="GG291" s="50"/>
      <c r="GH291" s="50"/>
      <c r="GI291" s="50"/>
      <c r="GJ291" s="50"/>
      <c r="GK291" s="50"/>
      <c r="GL291" s="50"/>
      <c r="GM291" s="50"/>
      <c r="GN291" s="50"/>
      <c r="GO291" s="50"/>
      <c r="GP291" s="50"/>
      <c r="GQ291" s="50"/>
      <c r="GR291" s="50"/>
      <c r="GS291" s="50"/>
      <c r="GT291" s="50"/>
      <c r="GU291" s="50"/>
      <c r="GV291" s="50"/>
      <c r="GW291" s="50"/>
      <c r="GX291" s="50"/>
      <c r="GY291" s="50"/>
      <c r="GZ291" s="50"/>
      <c r="HA291" s="50"/>
      <c r="HB291" s="50"/>
      <c r="HC291" s="50"/>
      <c r="HD291" s="50"/>
      <c r="HE291" s="50"/>
      <c r="HF291" s="50"/>
      <c r="HG291" s="50"/>
      <c r="HH291" s="50"/>
      <c r="HI291" s="50"/>
      <c r="HJ291" s="50"/>
      <c r="HK291" s="50"/>
      <c r="HL291" s="50"/>
      <c r="HM291" s="50"/>
      <c r="HN291" s="50"/>
      <c r="HO291" s="50"/>
      <c r="HP291" s="50"/>
      <c r="HQ291" s="50"/>
      <c r="HR291" s="50"/>
      <c r="HS291" s="50"/>
      <c r="HT291" s="50"/>
      <c r="HU291" s="50"/>
      <c r="HV291" s="50"/>
      <c r="HW291" s="50"/>
      <c r="HX291" s="50"/>
      <c r="HY291" s="50"/>
      <c r="HZ291" s="50"/>
      <c r="IA291" s="50"/>
      <c r="IB291" s="50"/>
      <c r="IC291" s="50"/>
      <c r="ID291" s="50"/>
      <c r="IE291" s="50"/>
      <c r="IF291" s="50"/>
      <c r="IG291" s="50"/>
      <c r="IH291" s="50"/>
      <c r="II291" s="50"/>
      <c r="IJ291" s="50"/>
      <c r="IK291" s="50"/>
      <c r="IL291" s="50"/>
      <c r="IM291" s="50"/>
      <c r="IN291" s="50"/>
      <c r="IO291" s="50"/>
      <c r="IP291" s="50"/>
      <c r="IQ291" s="50"/>
      <c r="IR291" s="50"/>
      <c r="IS291" s="50"/>
      <c r="IT291" s="50"/>
    </row>
    <row r="292" spans="1:254" s="59" customFormat="1" ht="15.5">
      <c r="A292" s="22"/>
      <c r="B292" s="49" t="s">
        <v>98</v>
      </c>
      <c r="C292" s="49"/>
      <c r="D292" s="50" t="s">
        <v>99</v>
      </c>
      <c r="E292" s="50"/>
      <c r="F292" s="51"/>
      <c r="G292" s="38"/>
      <c r="H292" s="38"/>
      <c r="I292" s="22"/>
      <c r="J292" s="57"/>
      <c r="K292" s="145" t="s">
        <v>102</v>
      </c>
      <c r="L292" s="145"/>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50"/>
      <c r="DV292" s="50"/>
      <c r="DW292" s="50"/>
      <c r="DX292" s="50"/>
      <c r="DY292" s="50"/>
      <c r="DZ292" s="50"/>
      <c r="EA292" s="50"/>
      <c r="EB292" s="50"/>
      <c r="EC292" s="50"/>
      <c r="ED292" s="50"/>
      <c r="EE292" s="50"/>
      <c r="EF292" s="50"/>
      <c r="EG292" s="50"/>
      <c r="EH292" s="50"/>
      <c r="EI292" s="50"/>
      <c r="EJ292" s="50"/>
      <c r="EK292" s="50"/>
      <c r="EL292" s="50"/>
      <c r="EM292" s="50"/>
      <c r="EN292" s="50"/>
      <c r="EO292" s="50"/>
      <c r="EP292" s="50"/>
      <c r="EQ292" s="50"/>
      <c r="ER292" s="50"/>
      <c r="ES292" s="50"/>
      <c r="ET292" s="50"/>
      <c r="EU292" s="50"/>
      <c r="EV292" s="50"/>
      <c r="EW292" s="50"/>
      <c r="EX292" s="50"/>
      <c r="EY292" s="50"/>
      <c r="EZ292" s="50"/>
      <c r="FA292" s="50"/>
      <c r="FB292" s="50"/>
      <c r="FC292" s="50"/>
      <c r="FD292" s="50"/>
      <c r="FE292" s="50"/>
      <c r="FF292" s="50"/>
      <c r="FG292" s="50"/>
      <c r="FH292" s="50"/>
      <c r="FI292" s="50"/>
      <c r="FJ292" s="50"/>
      <c r="FK292" s="50"/>
      <c r="FL292" s="50"/>
      <c r="FM292" s="50"/>
      <c r="FN292" s="50"/>
      <c r="FO292" s="50"/>
      <c r="FP292" s="50"/>
      <c r="FQ292" s="50"/>
      <c r="FR292" s="50"/>
      <c r="FS292" s="50"/>
      <c r="FT292" s="50"/>
      <c r="FU292" s="50"/>
      <c r="FV292" s="50"/>
      <c r="FW292" s="50"/>
      <c r="FX292" s="50"/>
      <c r="FY292" s="50"/>
      <c r="FZ292" s="50"/>
      <c r="GA292" s="50"/>
      <c r="GB292" s="50"/>
      <c r="GC292" s="50"/>
      <c r="GD292" s="50"/>
      <c r="GE292" s="50"/>
      <c r="GF292" s="50"/>
      <c r="GG292" s="50"/>
      <c r="GH292" s="50"/>
      <c r="GI292" s="50"/>
      <c r="GJ292" s="50"/>
      <c r="GK292" s="50"/>
      <c r="GL292" s="50"/>
      <c r="GM292" s="50"/>
      <c r="GN292" s="50"/>
      <c r="GO292" s="50"/>
      <c r="GP292" s="50"/>
      <c r="GQ292" s="50"/>
      <c r="GR292" s="50"/>
      <c r="GS292" s="50"/>
      <c r="GT292" s="50"/>
      <c r="GU292" s="50"/>
      <c r="GV292" s="50"/>
      <c r="GW292" s="50"/>
      <c r="GX292" s="50"/>
      <c r="GY292" s="50"/>
      <c r="GZ292" s="50"/>
      <c r="HA292" s="50"/>
      <c r="HB292" s="50"/>
      <c r="HC292" s="50"/>
      <c r="HD292" s="50"/>
      <c r="HE292" s="50"/>
      <c r="HF292" s="50"/>
      <c r="HG292" s="50"/>
      <c r="HH292" s="50"/>
      <c r="HI292" s="50"/>
      <c r="HJ292" s="50"/>
      <c r="HK292" s="50"/>
      <c r="HL292" s="50"/>
      <c r="HM292" s="50"/>
      <c r="HN292" s="50"/>
      <c r="HO292" s="50"/>
      <c r="HP292" s="50"/>
      <c r="HQ292" s="50"/>
      <c r="HR292" s="50"/>
      <c r="HS292" s="50"/>
      <c r="HT292" s="50"/>
      <c r="HU292" s="50"/>
      <c r="HV292" s="50"/>
      <c r="HW292" s="50"/>
      <c r="HX292" s="50"/>
      <c r="HY292" s="50"/>
      <c r="HZ292" s="50"/>
      <c r="IA292" s="50"/>
      <c r="IB292" s="50"/>
      <c r="IC292" s="50"/>
      <c r="ID292" s="50"/>
      <c r="IE292" s="50"/>
      <c r="IF292" s="50"/>
      <c r="IG292" s="50"/>
      <c r="IH292" s="50"/>
      <c r="II292" s="50"/>
      <c r="IJ292" s="50"/>
      <c r="IK292" s="50"/>
      <c r="IL292" s="50"/>
      <c r="IM292" s="50"/>
      <c r="IN292" s="50"/>
      <c r="IO292" s="50"/>
      <c r="IP292" s="50"/>
      <c r="IQ292" s="50"/>
      <c r="IR292" s="50"/>
      <c r="IS292" s="50"/>
      <c r="IT292" s="50"/>
    </row>
    <row r="293" spans="1:254" s="59" customFormat="1" ht="15.5">
      <c r="A293" s="22"/>
      <c r="B293" s="49"/>
      <c r="C293" s="49"/>
      <c r="D293" s="50"/>
      <c r="E293" s="50"/>
      <c r="F293" s="51"/>
      <c r="G293" s="38"/>
      <c r="H293" s="38"/>
      <c r="I293" s="22"/>
      <c r="J293" s="57"/>
      <c r="K293" s="115"/>
      <c r="L293" s="115"/>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50"/>
      <c r="DV293" s="50"/>
      <c r="DW293" s="50"/>
      <c r="DX293" s="50"/>
      <c r="DY293" s="50"/>
      <c r="DZ293" s="50"/>
      <c r="EA293" s="50"/>
      <c r="EB293" s="50"/>
      <c r="EC293" s="50"/>
      <c r="ED293" s="50"/>
      <c r="EE293" s="50"/>
      <c r="EF293" s="50"/>
      <c r="EG293" s="50"/>
      <c r="EH293" s="50"/>
      <c r="EI293" s="50"/>
      <c r="EJ293" s="50"/>
      <c r="EK293" s="50"/>
      <c r="EL293" s="50"/>
      <c r="EM293" s="50"/>
      <c r="EN293" s="50"/>
      <c r="EO293" s="50"/>
      <c r="EP293" s="50"/>
      <c r="EQ293" s="50"/>
      <c r="ER293" s="50"/>
      <c r="ES293" s="50"/>
      <c r="ET293" s="50"/>
      <c r="EU293" s="50"/>
      <c r="EV293" s="50"/>
      <c r="EW293" s="50"/>
      <c r="EX293" s="50"/>
      <c r="EY293" s="50"/>
      <c r="EZ293" s="50"/>
      <c r="FA293" s="50"/>
      <c r="FB293" s="50"/>
      <c r="FC293" s="50"/>
      <c r="FD293" s="50"/>
      <c r="FE293" s="50"/>
      <c r="FF293" s="50"/>
      <c r="FG293" s="50"/>
      <c r="FH293" s="50"/>
      <c r="FI293" s="50"/>
      <c r="FJ293" s="50"/>
      <c r="FK293" s="50"/>
      <c r="FL293" s="50"/>
      <c r="FM293" s="50"/>
      <c r="FN293" s="50"/>
      <c r="FO293" s="50"/>
      <c r="FP293" s="50"/>
      <c r="FQ293" s="50"/>
      <c r="FR293" s="50"/>
      <c r="FS293" s="50"/>
      <c r="FT293" s="50"/>
      <c r="FU293" s="50"/>
      <c r="FV293" s="50"/>
      <c r="FW293" s="50"/>
      <c r="FX293" s="50"/>
      <c r="FY293" s="50"/>
      <c r="FZ293" s="50"/>
      <c r="GA293" s="50"/>
      <c r="GB293" s="50"/>
      <c r="GC293" s="50"/>
      <c r="GD293" s="50"/>
      <c r="GE293" s="50"/>
      <c r="GF293" s="50"/>
      <c r="GG293" s="50"/>
      <c r="GH293" s="50"/>
      <c r="GI293" s="50"/>
      <c r="GJ293" s="50"/>
      <c r="GK293" s="50"/>
      <c r="GL293" s="50"/>
      <c r="GM293" s="50"/>
      <c r="GN293" s="50"/>
      <c r="GO293" s="50"/>
      <c r="GP293" s="50"/>
      <c r="GQ293" s="50"/>
      <c r="GR293" s="50"/>
      <c r="GS293" s="50"/>
      <c r="GT293" s="50"/>
      <c r="GU293" s="50"/>
      <c r="GV293" s="50"/>
      <c r="GW293" s="50"/>
      <c r="GX293" s="50"/>
      <c r="GY293" s="50"/>
      <c r="GZ293" s="50"/>
      <c r="HA293" s="50"/>
      <c r="HB293" s="50"/>
      <c r="HC293" s="50"/>
      <c r="HD293" s="50"/>
      <c r="HE293" s="50"/>
      <c r="HF293" s="50"/>
      <c r="HG293" s="50"/>
      <c r="HH293" s="50"/>
      <c r="HI293" s="50"/>
      <c r="HJ293" s="50"/>
      <c r="HK293" s="50"/>
      <c r="HL293" s="50"/>
      <c r="HM293" s="50"/>
      <c r="HN293" s="50"/>
      <c r="HO293" s="50"/>
      <c r="HP293" s="50"/>
      <c r="HQ293" s="50"/>
      <c r="HR293" s="50"/>
      <c r="HS293" s="50"/>
      <c r="HT293" s="50"/>
      <c r="HU293" s="50"/>
      <c r="HV293" s="50"/>
      <c r="HW293" s="50"/>
      <c r="HX293" s="50"/>
      <c r="HY293" s="50"/>
      <c r="HZ293" s="50"/>
      <c r="IA293" s="50"/>
      <c r="IB293" s="50"/>
      <c r="IC293" s="50"/>
      <c r="ID293" s="50"/>
      <c r="IE293" s="50"/>
      <c r="IF293" s="50"/>
      <c r="IG293" s="50"/>
      <c r="IH293" s="50"/>
      <c r="II293" s="50"/>
      <c r="IJ293" s="50"/>
      <c r="IK293" s="50"/>
      <c r="IL293" s="50"/>
      <c r="IM293" s="50"/>
      <c r="IN293" s="50"/>
      <c r="IO293" s="50"/>
      <c r="IP293" s="50"/>
      <c r="IQ293" s="50"/>
      <c r="IR293" s="50"/>
      <c r="IS293" s="50"/>
      <c r="IT293" s="50"/>
    </row>
    <row r="294" spans="1:254" s="59" customFormat="1" ht="15.5">
      <c r="A294" s="22"/>
      <c r="B294" s="49"/>
      <c r="C294" s="49"/>
      <c r="D294" s="50"/>
      <c r="E294" s="50"/>
      <c r="F294" s="51"/>
      <c r="G294" s="38"/>
      <c r="H294" s="38"/>
      <c r="I294" s="22"/>
      <c r="J294" s="57"/>
      <c r="K294" s="115"/>
      <c r="L294" s="115"/>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50"/>
      <c r="DT294" s="50"/>
      <c r="DU294" s="50"/>
      <c r="DV294" s="50"/>
      <c r="DW294" s="50"/>
      <c r="DX294" s="50"/>
      <c r="DY294" s="50"/>
      <c r="DZ294" s="50"/>
      <c r="EA294" s="50"/>
      <c r="EB294" s="50"/>
      <c r="EC294" s="50"/>
      <c r="ED294" s="50"/>
      <c r="EE294" s="50"/>
      <c r="EF294" s="50"/>
      <c r="EG294" s="50"/>
      <c r="EH294" s="50"/>
      <c r="EI294" s="50"/>
      <c r="EJ294" s="50"/>
      <c r="EK294" s="50"/>
      <c r="EL294" s="50"/>
      <c r="EM294" s="50"/>
      <c r="EN294" s="50"/>
      <c r="EO294" s="50"/>
      <c r="EP294" s="50"/>
      <c r="EQ294" s="50"/>
      <c r="ER294" s="50"/>
      <c r="ES294" s="50"/>
      <c r="ET294" s="50"/>
      <c r="EU294" s="50"/>
      <c r="EV294" s="50"/>
      <c r="EW294" s="50"/>
      <c r="EX294" s="50"/>
      <c r="EY294" s="50"/>
      <c r="EZ294" s="50"/>
      <c r="FA294" s="50"/>
      <c r="FB294" s="50"/>
      <c r="FC294" s="50"/>
      <c r="FD294" s="50"/>
      <c r="FE294" s="50"/>
      <c r="FF294" s="50"/>
      <c r="FG294" s="50"/>
      <c r="FH294" s="50"/>
      <c r="FI294" s="50"/>
      <c r="FJ294" s="50"/>
      <c r="FK294" s="50"/>
      <c r="FL294" s="50"/>
      <c r="FM294" s="50"/>
      <c r="FN294" s="50"/>
      <c r="FO294" s="50"/>
      <c r="FP294" s="50"/>
      <c r="FQ294" s="50"/>
      <c r="FR294" s="50"/>
      <c r="FS294" s="50"/>
      <c r="FT294" s="50"/>
      <c r="FU294" s="50"/>
      <c r="FV294" s="50"/>
      <c r="FW294" s="50"/>
      <c r="FX294" s="50"/>
      <c r="FY294" s="50"/>
      <c r="FZ294" s="50"/>
      <c r="GA294" s="50"/>
      <c r="GB294" s="50"/>
      <c r="GC294" s="50"/>
      <c r="GD294" s="50"/>
      <c r="GE294" s="50"/>
      <c r="GF294" s="50"/>
      <c r="GG294" s="50"/>
      <c r="GH294" s="50"/>
      <c r="GI294" s="50"/>
      <c r="GJ294" s="50"/>
      <c r="GK294" s="50"/>
      <c r="GL294" s="50"/>
      <c r="GM294" s="50"/>
      <c r="GN294" s="50"/>
      <c r="GO294" s="50"/>
      <c r="GP294" s="50"/>
      <c r="GQ294" s="50"/>
      <c r="GR294" s="50"/>
      <c r="GS294" s="50"/>
      <c r="GT294" s="50"/>
      <c r="GU294" s="50"/>
      <c r="GV294" s="50"/>
      <c r="GW294" s="50"/>
      <c r="GX294" s="50"/>
      <c r="GY294" s="50"/>
      <c r="GZ294" s="50"/>
      <c r="HA294" s="50"/>
      <c r="HB294" s="50"/>
      <c r="HC294" s="50"/>
      <c r="HD294" s="50"/>
      <c r="HE294" s="50"/>
      <c r="HF294" s="50"/>
      <c r="HG294" s="50"/>
      <c r="HH294" s="50"/>
      <c r="HI294" s="50"/>
      <c r="HJ294" s="50"/>
      <c r="HK294" s="50"/>
      <c r="HL294" s="50"/>
      <c r="HM294" s="50"/>
      <c r="HN294" s="50"/>
      <c r="HO294" s="50"/>
      <c r="HP294" s="50"/>
      <c r="HQ294" s="50"/>
      <c r="HR294" s="50"/>
      <c r="HS294" s="50"/>
      <c r="HT294" s="50"/>
      <c r="HU294" s="50"/>
      <c r="HV294" s="50"/>
      <c r="HW294" s="50"/>
      <c r="HX294" s="50"/>
      <c r="HY294" s="50"/>
      <c r="HZ294" s="50"/>
      <c r="IA294" s="50"/>
      <c r="IB294" s="50"/>
      <c r="IC294" s="50"/>
      <c r="ID294" s="50"/>
      <c r="IE294" s="50"/>
      <c r="IF294" s="50"/>
      <c r="IG294" s="50"/>
      <c r="IH294" s="50"/>
      <c r="II294" s="50"/>
      <c r="IJ294" s="50"/>
      <c r="IK294" s="50"/>
      <c r="IL294" s="50"/>
      <c r="IM294" s="50"/>
      <c r="IN294" s="50"/>
      <c r="IO294" s="50"/>
      <c r="IP294" s="50"/>
      <c r="IQ294" s="50"/>
      <c r="IR294" s="50"/>
      <c r="IS294" s="50"/>
      <c r="IT294" s="50"/>
    </row>
    <row r="295" spans="1:254" s="59" customFormat="1" ht="15.5">
      <c r="A295" s="22"/>
      <c r="B295" s="49"/>
      <c r="C295" s="49"/>
      <c r="D295" s="50"/>
      <c r="E295" s="50"/>
      <c r="F295" s="51"/>
      <c r="G295" s="38"/>
      <c r="H295" s="38"/>
      <c r="I295" s="22"/>
      <c r="J295" s="57"/>
      <c r="K295" s="115"/>
      <c r="L295" s="115"/>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50"/>
      <c r="DT295" s="50"/>
      <c r="DU295" s="50"/>
      <c r="DV295" s="50"/>
      <c r="DW295" s="50"/>
      <c r="DX295" s="50"/>
      <c r="DY295" s="50"/>
      <c r="DZ295" s="50"/>
      <c r="EA295" s="50"/>
      <c r="EB295" s="50"/>
      <c r="EC295" s="50"/>
      <c r="ED295" s="50"/>
      <c r="EE295" s="50"/>
      <c r="EF295" s="50"/>
      <c r="EG295" s="50"/>
      <c r="EH295" s="50"/>
      <c r="EI295" s="50"/>
      <c r="EJ295" s="50"/>
      <c r="EK295" s="50"/>
      <c r="EL295" s="50"/>
      <c r="EM295" s="50"/>
      <c r="EN295" s="50"/>
      <c r="EO295" s="50"/>
      <c r="EP295" s="50"/>
      <c r="EQ295" s="50"/>
      <c r="ER295" s="50"/>
      <c r="ES295" s="50"/>
      <c r="ET295" s="50"/>
      <c r="EU295" s="50"/>
      <c r="EV295" s="50"/>
      <c r="EW295" s="50"/>
      <c r="EX295" s="50"/>
      <c r="EY295" s="50"/>
      <c r="EZ295" s="50"/>
      <c r="FA295" s="50"/>
      <c r="FB295" s="50"/>
      <c r="FC295" s="50"/>
      <c r="FD295" s="50"/>
      <c r="FE295" s="50"/>
      <c r="FF295" s="50"/>
      <c r="FG295" s="50"/>
      <c r="FH295" s="50"/>
      <c r="FI295" s="50"/>
      <c r="FJ295" s="50"/>
      <c r="FK295" s="50"/>
      <c r="FL295" s="50"/>
      <c r="FM295" s="50"/>
      <c r="FN295" s="50"/>
      <c r="FO295" s="50"/>
      <c r="FP295" s="50"/>
      <c r="FQ295" s="50"/>
      <c r="FR295" s="50"/>
      <c r="FS295" s="50"/>
      <c r="FT295" s="50"/>
      <c r="FU295" s="50"/>
      <c r="FV295" s="50"/>
      <c r="FW295" s="50"/>
      <c r="FX295" s="50"/>
      <c r="FY295" s="50"/>
      <c r="FZ295" s="50"/>
      <c r="GA295" s="50"/>
      <c r="GB295" s="50"/>
      <c r="GC295" s="50"/>
      <c r="GD295" s="50"/>
      <c r="GE295" s="50"/>
      <c r="GF295" s="50"/>
      <c r="GG295" s="50"/>
      <c r="GH295" s="50"/>
      <c r="GI295" s="50"/>
      <c r="GJ295" s="50"/>
      <c r="GK295" s="50"/>
      <c r="GL295" s="50"/>
      <c r="GM295" s="50"/>
      <c r="GN295" s="50"/>
      <c r="GO295" s="50"/>
      <c r="GP295" s="50"/>
      <c r="GQ295" s="50"/>
      <c r="GR295" s="50"/>
      <c r="GS295" s="50"/>
      <c r="GT295" s="50"/>
      <c r="GU295" s="50"/>
      <c r="GV295" s="50"/>
      <c r="GW295" s="50"/>
      <c r="GX295" s="50"/>
      <c r="GY295" s="50"/>
      <c r="GZ295" s="50"/>
      <c r="HA295" s="50"/>
      <c r="HB295" s="50"/>
      <c r="HC295" s="50"/>
      <c r="HD295" s="50"/>
      <c r="HE295" s="50"/>
      <c r="HF295" s="50"/>
      <c r="HG295" s="50"/>
      <c r="HH295" s="50"/>
      <c r="HI295" s="50"/>
      <c r="HJ295" s="50"/>
      <c r="HK295" s="50"/>
      <c r="HL295" s="50"/>
      <c r="HM295" s="50"/>
      <c r="HN295" s="50"/>
      <c r="HO295" s="50"/>
      <c r="HP295" s="50"/>
      <c r="HQ295" s="50"/>
      <c r="HR295" s="50"/>
      <c r="HS295" s="50"/>
      <c r="HT295" s="50"/>
      <c r="HU295" s="50"/>
      <c r="HV295" s="50"/>
      <c r="HW295" s="50"/>
      <c r="HX295" s="50"/>
      <c r="HY295" s="50"/>
      <c r="HZ295" s="50"/>
      <c r="IA295" s="50"/>
      <c r="IB295" s="50"/>
      <c r="IC295" s="50"/>
      <c r="ID295" s="50"/>
      <c r="IE295" s="50"/>
      <c r="IF295" s="50"/>
      <c r="IG295" s="50"/>
      <c r="IH295" s="50"/>
      <c r="II295" s="50"/>
      <c r="IJ295" s="50"/>
      <c r="IK295" s="50"/>
      <c r="IL295" s="50"/>
      <c r="IM295" s="50"/>
      <c r="IN295" s="50"/>
      <c r="IO295" s="50"/>
      <c r="IP295" s="50"/>
      <c r="IQ295" s="50"/>
      <c r="IR295" s="50"/>
      <c r="IS295" s="50"/>
      <c r="IT295" s="50"/>
    </row>
    <row r="296" spans="1:254" s="59" customFormat="1" ht="15.5">
      <c r="A296" s="49"/>
      <c r="B296" s="50"/>
      <c r="C296" s="50"/>
      <c r="D296" s="50"/>
      <c r="E296" s="50"/>
      <c r="F296" s="51"/>
      <c r="G296" s="51"/>
      <c r="H296" s="51"/>
      <c r="I296" s="49"/>
      <c r="J296" s="57"/>
      <c r="K296" s="57"/>
      <c r="L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50"/>
      <c r="DT296" s="50"/>
      <c r="DU296" s="50"/>
      <c r="DV296" s="50"/>
      <c r="DW296" s="50"/>
      <c r="DX296" s="50"/>
      <c r="DY296" s="50"/>
      <c r="DZ296" s="50"/>
      <c r="EA296" s="50"/>
      <c r="EB296" s="50"/>
      <c r="EC296" s="50"/>
      <c r="ED296" s="50"/>
      <c r="EE296" s="50"/>
      <c r="EF296" s="50"/>
      <c r="EG296" s="50"/>
      <c r="EH296" s="50"/>
      <c r="EI296" s="50"/>
      <c r="EJ296" s="50"/>
      <c r="EK296" s="50"/>
      <c r="EL296" s="50"/>
      <c r="EM296" s="50"/>
      <c r="EN296" s="50"/>
      <c r="EO296" s="50"/>
      <c r="EP296" s="50"/>
      <c r="EQ296" s="50"/>
      <c r="ER296" s="50"/>
      <c r="ES296" s="50"/>
      <c r="ET296" s="50"/>
      <c r="EU296" s="50"/>
      <c r="EV296" s="50"/>
      <c r="EW296" s="50"/>
      <c r="EX296" s="50"/>
      <c r="EY296" s="50"/>
      <c r="EZ296" s="50"/>
      <c r="FA296" s="50"/>
      <c r="FB296" s="50"/>
      <c r="FC296" s="50"/>
      <c r="FD296" s="50"/>
      <c r="FE296" s="50"/>
      <c r="FF296" s="50"/>
      <c r="FG296" s="50"/>
      <c r="FH296" s="50"/>
      <c r="FI296" s="50"/>
      <c r="FJ296" s="50"/>
      <c r="FK296" s="50"/>
      <c r="FL296" s="50"/>
      <c r="FM296" s="50"/>
      <c r="FN296" s="50"/>
      <c r="FO296" s="50"/>
      <c r="FP296" s="50"/>
      <c r="FQ296" s="50"/>
      <c r="FR296" s="50"/>
      <c r="FS296" s="50"/>
      <c r="FT296" s="50"/>
      <c r="FU296" s="50"/>
      <c r="FV296" s="50"/>
      <c r="FW296" s="50"/>
      <c r="FX296" s="50"/>
      <c r="FY296" s="50"/>
      <c r="FZ296" s="50"/>
      <c r="GA296" s="50"/>
      <c r="GB296" s="50"/>
      <c r="GC296" s="50"/>
      <c r="GD296" s="50"/>
      <c r="GE296" s="50"/>
      <c r="GF296" s="50"/>
      <c r="GG296" s="50"/>
      <c r="GH296" s="50"/>
      <c r="GI296" s="50"/>
      <c r="GJ296" s="50"/>
      <c r="GK296" s="50"/>
      <c r="GL296" s="50"/>
      <c r="GM296" s="50"/>
      <c r="GN296" s="50"/>
      <c r="GO296" s="50"/>
      <c r="GP296" s="50"/>
      <c r="GQ296" s="50"/>
      <c r="GR296" s="50"/>
      <c r="GS296" s="50"/>
      <c r="GT296" s="50"/>
      <c r="GU296" s="50"/>
      <c r="GV296" s="50"/>
      <c r="GW296" s="50"/>
      <c r="GX296" s="50"/>
      <c r="GY296" s="50"/>
      <c r="GZ296" s="50"/>
      <c r="HA296" s="50"/>
      <c r="HB296" s="50"/>
      <c r="HC296" s="50"/>
      <c r="HD296" s="50"/>
      <c r="HE296" s="50"/>
      <c r="HF296" s="50"/>
      <c r="HG296" s="50"/>
      <c r="HH296" s="50"/>
      <c r="HI296" s="50"/>
      <c r="HJ296" s="50"/>
      <c r="HK296" s="50"/>
      <c r="HL296" s="50"/>
      <c r="HM296" s="50"/>
      <c r="HN296" s="50"/>
      <c r="HO296" s="50"/>
      <c r="HP296" s="50"/>
      <c r="HQ296" s="50"/>
      <c r="HR296" s="50"/>
      <c r="HS296" s="50"/>
      <c r="HT296" s="50"/>
      <c r="HU296" s="50"/>
      <c r="HV296" s="50"/>
      <c r="HW296" s="50"/>
      <c r="HX296" s="50"/>
      <c r="HY296" s="50"/>
      <c r="HZ296" s="50"/>
      <c r="IA296" s="50"/>
      <c r="IB296" s="50"/>
      <c r="IC296" s="50"/>
      <c r="ID296" s="50"/>
      <c r="IE296" s="50"/>
      <c r="IF296" s="50"/>
      <c r="IG296" s="50"/>
      <c r="IH296" s="50"/>
      <c r="II296" s="50"/>
      <c r="IJ296" s="50"/>
      <c r="IK296" s="50"/>
      <c r="IL296" s="50"/>
      <c r="IM296" s="50"/>
      <c r="IN296" s="50"/>
      <c r="IO296" s="50"/>
      <c r="IP296" s="50"/>
      <c r="IQ296" s="50"/>
      <c r="IR296" s="50"/>
      <c r="IS296" s="50"/>
      <c r="IT296" s="50"/>
    </row>
    <row r="297" spans="1:254" s="59" customFormat="1" ht="15.5">
      <c r="A297" s="49"/>
      <c r="B297" s="48"/>
      <c r="C297" s="48"/>
      <c r="D297" s="50"/>
      <c r="E297" s="50"/>
      <c r="F297" s="51"/>
      <c r="G297" s="51"/>
      <c r="H297" s="51"/>
      <c r="I297" s="49"/>
      <c r="J297" s="57"/>
      <c r="K297" s="57"/>
      <c r="L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50"/>
      <c r="DT297" s="50"/>
      <c r="DU297" s="50"/>
      <c r="DV297" s="50"/>
      <c r="DW297" s="50"/>
      <c r="DX297" s="50"/>
      <c r="DY297" s="50"/>
      <c r="DZ297" s="50"/>
      <c r="EA297" s="50"/>
      <c r="EB297" s="50"/>
      <c r="EC297" s="50"/>
      <c r="ED297" s="50"/>
      <c r="EE297" s="50"/>
      <c r="EF297" s="50"/>
      <c r="EG297" s="50"/>
      <c r="EH297" s="50"/>
      <c r="EI297" s="50"/>
      <c r="EJ297" s="50"/>
      <c r="EK297" s="50"/>
      <c r="EL297" s="50"/>
      <c r="EM297" s="50"/>
      <c r="EN297" s="50"/>
      <c r="EO297" s="50"/>
      <c r="EP297" s="50"/>
      <c r="EQ297" s="50"/>
      <c r="ER297" s="50"/>
      <c r="ES297" s="50"/>
      <c r="ET297" s="50"/>
      <c r="EU297" s="50"/>
      <c r="EV297" s="50"/>
      <c r="EW297" s="50"/>
      <c r="EX297" s="50"/>
      <c r="EY297" s="50"/>
      <c r="EZ297" s="50"/>
      <c r="FA297" s="50"/>
      <c r="FB297" s="50"/>
      <c r="FC297" s="50"/>
      <c r="FD297" s="50"/>
      <c r="FE297" s="50"/>
      <c r="FF297" s="50"/>
      <c r="FG297" s="50"/>
      <c r="FH297" s="50"/>
      <c r="FI297" s="50"/>
      <c r="FJ297" s="50"/>
      <c r="FK297" s="50"/>
      <c r="FL297" s="50"/>
      <c r="FM297" s="50"/>
      <c r="FN297" s="50"/>
      <c r="FO297" s="50"/>
      <c r="FP297" s="50"/>
      <c r="FQ297" s="50"/>
      <c r="FR297" s="50"/>
      <c r="FS297" s="50"/>
      <c r="FT297" s="50"/>
      <c r="FU297" s="50"/>
      <c r="FV297" s="50"/>
      <c r="FW297" s="50"/>
      <c r="FX297" s="50"/>
      <c r="FY297" s="50"/>
      <c r="FZ297" s="50"/>
      <c r="GA297" s="50"/>
      <c r="GB297" s="50"/>
      <c r="GC297" s="50"/>
      <c r="GD297" s="50"/>
      <c r="GE297" s="50"/>
      <c r="GF297" s="50"/>
      <c r="GG297" s="50"/>
      <c r="GH297" s="50"/>
      <c r="GI297" s="50"/>
      <c r="GJ297" s="50"/>
      <c r="GK297" s="50"/>
      <c r="GL297" s="50"/>
      <c r="GM297" s="50"/>
      <c r="GN297" s="50"/>
      <c r="GO297" s="50"/>
      <c r="GP297" s="50"/>
      <c r="GQ297" s="50"/>
      <c r="GR297" s="50"/>
      <c r="GS297" s="50"/>
      <c r="GT297" s="50"/>
      <c r="GU297" s="50"/>
      <c r="GV297" s="50"/>
      <c r="GW297" s="50"/>
      <c r="GX297" s="50"/>
      <c r="GY297" s="50"/>
      <c r="GZ297" s="50"/>
      <c r="HA297" s="50"/>
      <c r="HB297" s="50"/>
      <c r="HC297" s="50"/>
      <c r="HD297" s="50"/>
      <c r="HE297" s="50"/>
      <c r="HF297" s="50"/>
      <c r="HG297" s="50"/>
      <c r="HH297" s="50"/>
      <c r="HI297" s="50"/>
      <c r="HJ297" s="50"/>
      <c r="HK297" s="50"/>
      <c r="HL297" s="50"/>
      <c r="HM297" s="50"/>
      <c r="HN297" s="50"/>
      <c r="HO297" s="50"/>
      <c r="HP297" s="50"/>
      <c r="HQ297" s="50"/>
      <c r="HR297" s="50"/>
      <c r="HS297" s="50"/>
      <c r="HT297" s="50"/>
      <c r="HU297" s="50"/>
      <c r="HV297" s="50"/>
      <c r="HW297" s="50"/>
      <c r="HX297" s="50"/>
      <c r="HY297" s="50"/>
      <c r="HZ297" s="50"/>
      <c r="IA297" s="50"/>
      <c r="IB297" s="50"/>
      <c r="IC297" s="50"/>
      <c r="ID297" s="50"/>
      <c r="IE297" s="50"/>
      <c r="IF297" s="50"/>
      <c r="IG297" s="50"/>
      <c r="IH297" s="50"/>
      <c r="II297" s="50"/>
      <c r="IJ297" s="50"/>
      <c r="IK297" s="50"/>
      <c r="IL297" s="50"/>
      <c r="IM297" s="50"/>
      <c r="IN297" s="50"/>
      <c r="IO297" s="50"/>
      <c r="IP297" s="50"/>
      <c r="IQ297" s="50"/>
      <c r="IR297" s="50"/>
      <c r="IS297" s="50"/>
      <c r="IT297" s="50"/>
    </row>
    <row r="298" spans="1:254" s="59" customFormat="1" ht="15" customHeight="1">
      <c r="A298" s="49"/>
      <c r="B298" s="48" t="s">
        <v>385</v>
      </c>
      <c r="C298" s="48"/>
      <c r="D298" s="48" t="s">
        <v>388</v>
      </c>
      <c r="E298" s="50"/>
      <c r="F298" s="46" t="s">
        <v>387</v>
      </c>
      <c r="G298" s="51"/>
      <c r="H298" s="51"/>
      <c r="I298" s="49"/>
      <c r="J298" s="57"/>
      <c r="K298" s="140" t="s">
        <v>386</v>
      </c>
      <c r="L298" s="140"/>
      <c r="M298" s="58"/>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c r="FE298" s="50"/>
      <c r="FF298" s="50"/>
      <c r="FG298" s="50"/>
      <c r="FH298" s="50"/>
      <c r="FI298" s="50"/>
      <c r="FJ298" s="50"/>
      <c r="FK298" s="50"/>
      <c r="FL298" s="50"/>
      <c r="FM298" s="50"/>
      <c r="FN298" s="50"/>
      <c r="FO298" s="50"/>
      <c r="FP298" s="50"/>
      <c r="FQ298" s="50"/>
      <c r="FR298" s="50"/>
      <c r="FS298" s="50"/>
      <c r="FT298" s="50"/>
      <c r="FU298" s="50"/>
      <c r="FV298" s="50"/>
      <c r="FW298" s="50"/>
      <c r="FX298" s="50"/>
      <c r="FY298" s="50"/>
      <c r="FZ298" s="50"/>
      <c r="GA298" s="50"/>
      <c r="GB298" s="50"/>
      <c r="GC298" s="50"/>
      <c r="GD298" s="50"/>
      <c r="GE298" s="50"/>
      <c r="GF298" s="50"/>
      <c r="GG298" s="50"/>
      <c r="GH298" s="50"/>
      <c r="GI298" s="50"/>
      <c r="GJ298" s="50"/>
      <c r="GK298" s="50"/>
      <c r="GL298" s="50"/>
      <c r="GM298" s="50"/>
      <c r="GN298" s="50"/>
      <c r="GO298" s="50"/>
      <c r="GP298" s="50"/>
      <c r="GQ298" s="50"/>
      <c r="GR298" s="50"/>
      <c r="GS298" s="50"/>
      <c r="GT298" s="50"/>
      <c r="GU298" s="50"/>
      <c r="GV298" s="50"/>
      <c r="GW298" s="50"/>
      <c r="GX298" s="50"/>
      <c r="GY298" s="50"/>
      <c r="GZ298" s="50"/>
      <c r="HA298" s="50"/>
      <c r="HB298" s="50"/>
      <c r="HC298" s="50"/>
      <c r="HD298" s="50"/>
      <c r="HE298" s="50"/>
      <c r="HF298" s="50"/>
      <c r="HG298" s="50"/>
      <c r="HH298" s="50"/>
      <c r="HI298" s="50"/>
      <c r="HJ298" s="50"/>
      <c r="HK298" s="50"/>
      <c r="HL298" s="50"/>
      <c r="HM298" s="50"/>
      <c r="HN298" s="50"/>
      <c r="HO298" s="50"/>
      <c r="HP298" s="50"/>
      <c r="HQ298" s="50"/>
      <c r="HR298" s="50"/>
      <c r="HS298" s="50"/>
      <c r="HT298" s="50"/>
      <c r="HU298" s="50"/>
      <c r="HV298" s="50"/>
      <c r="HW298" s="50"/>
      <c r="HX298" s="50"/>
      <c r="HY298" s="50"/>
      <c r="HZ298" s="50"/>
      <c r="IA298" s="50"/>
      <c r="IB298" s="50"/>
      <c r="IC298" s="50"/>
      <c r="ID298" s="50"/>
      <c r="IE298" s="50"/>
      <c r="IF298" s="50"/>
      <c r="IG298" s="50"/>
      <c r="IH298" s="50"/>
      <c r="II298" s="50"/>
      <c r="IJ298" s="50"/>
      <c r="IK298" s="50"/>
      <c r="IL298" s="50"/>
      <c r="IM298" s="50"/>
      <c r="IN298" s="50"/>
      <c r="IO298" s="50"/>
      <c r="IP298" s="50"/>
      <c r="IQ298" s="50"/>
      <c r="IR298" s="50"/>
      <c r="IS298" s="50"/>
      <c r="IT298" s="50"/>
    </row>
    <row r="299" spans="1:254" s="59" customFormat="1" ht="15.5">
      <c r="A299" s="49"/>
      <c r="B299" s="49" t="s">
        <v>97</v>
      </c>
      <c r="C299" s="50"/>
      <c r="D299" s="49" t="s">
        <v>100</v>
      </c>
      <c r="E299" s="50"/>
      <c r="F299" s="51" t="s">
        <v>101</v>
      </c>
      <c r="G299" s="51"/>
      <c r="H299" s="51"/>
      <c r="I299" s="49"/>
      <c r="J299" s="57"/>
      <c r="K299" s="146" t="s">
        <v>103</v>
      </c>
      <c r="L299" s="146"/>
      <c r="M299" s="58"/>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c r="FI299" s="50"/>
      <c r="FJ299" s="50"/>
      <c r="FK299" s="50"/>
      <c r="FL299" s="50"/>
      <c r="FM299" s="50"/>
      <c r="FN299" s="50"/>
      <c r="FO299" s="50"/>
      <c r="FP299" s="50"/>
      <c r="FQ299" s="50"/>
      <c r="FR299" s="50"/>
      <c r="FS299" s="50"/>
      <c r="FT299" s="50"/>
      <c r="FU299" s="50"/>
      <c r="FV299" s="50"/>
      <c r="FW299" s="50"/>
      <c r="FX299" s="50"/>
      <c r="FY299" s="50"/>
      <c r="FZ299" s="50"/>
      <c r="GA299" s="50"/>
      <c r="GB299" s="50"/>
      <c r="GC299" s="50"/>
      <c r="GD299" s="50"/>
      <c r="GE299" s="50"/>
      <c r="GF299" s="50"/>
      <c r="GG299" s="50"/>
      <c r="GH299" s="50"/>
      <c r="GI299" s="50"/>
      <c r="GJ299" s="50"/>
      <c r="GK299" s="50"/>
      <c r="GL299" s="50"/>
      <c r="GM299" s="50"/>
      <c r="GN299" s="50"/>
      <c r="GO299" s="50"/>
      <c r="GP299" s="50"/>
      <c r="GQ299" s="50"/>
      <c r="GR299" s="50"/>
      <c r="GS299" s="50"/>
      <c r="GT299" s="50"/>
      <c r="GU299" s="50"/>
      <c r="GV299" s="50"/>
      <c r="GW299" s="50"/>
      <c r="GX299" s="50"/>
      <c r="GY299" s="50"/>
      <c r="GZ299" s="50"/>
      <c r="HA299" s="50"/>
      <c r="HB299" s="50"/>
      <c r="HC299" s="50"/>
      <c r="HD299" s="50"/>
      <c r="HE299" s="50"/>
      <c r="HF299" s="50"/>
      <c r="HG299" s="50"/>
      <c r="HH299" s="50"/>
      <c r="HI299" s="50"/>
      <c r="HJ299" s="50"/>
      <c r="HK299" s="50"/>
      <c r="HL299" s="50"/>
      <c r="HM299" s="50"/>
      <c r="HN299" s="50"/>
      <c r="HO299" s="50"/>
      <c r="HP299" s="50"/>
      <c r="HQ299" s="50"/>
      <c r="HR299" s="50"/>
      <c r="HS299" s="50"/>
      <c r="HT299" s="50"/>
      <c r="HU299" s="50"/>
      <c r="HV299" s="50"/>
      <c r="HW299" s="50"/>
      <c r="HX299" s="50"/>
      <c r="HY299" s="50"/>
      <c r="HZ299" s="50"/>
      <c r="IA299" s="50"/>
      <c r="IB299" s="50"/>
      <c r="IC299" s="50"/>
      <c r="ID299" s="50"/>
      <c r="IE299" s="50"/>
      <c r="IF299" s="50"/>
      <c r="IG299" s="50"/>
      <c r="IH299" s="50"/>
      <c r="II299" s="50"/>
      <c r="IJ299" s="50"/>
      <c r="IK299" s="50"/>
      <c r="IL299" s="50"/>
      <c r="IM299" s="50"/>
      <c r="IN299" s="50"/>
      <c r="IO299" s="50"/>
      <c r="IP299" s="50"/>
      <c r="IQ299" s="50"/>
      <c r="IR299" s="50"/>
      <c r="IS299" s="50"/>
      <c r="IT299" s="50"/>
    </row>
    <row r="300" spans="1:254" s="59" customFormat="1" ht="15.5">
      <c r="A300" s="49"/>
      <c r="B300" s="139"/>
      <c r="C300" s="139"/>
      <c r="D300" s="49"/>
      <c r="E300" s="50"/>
      <c r="F300" s="51"/>
      <c r="G300" s="51"/>
      <c r="H300" s="51"/>
      <c r="I300" s="49"/>
      <c r="J300" s="57"/>
      <c r="K300" s="57"/>
      <c r="L300" s="50"/>
      <c r="M300" s="58"/>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c r="FI300" s="50"/>
      <c r="FJ300" s="50"/>
      <c r="FK300" s="50"/>
      <c r="FL300" s="50"/>
      <c r="FM300" s="50"/>
      <c r="FN300" s="50"/>
      <c r="FO300" s="50"/>
      <c r="FP300" s="50"/>
      <c r="FQ300" s="50"/>
      <c r="FR300" s="50"/>
      <c r="FS300" s="50"/>
      <c r="FT300" s="50"/>
      <c r="FU300" s="50"/>
      <c r="FV300" s="50"/>
      <c r="FW300" s="50"/>
      <c r="FX300" s="50"/>
      <c r="FY300" s="50"/>
      <c r="FZ300" s="50"/>
      <c r="GA300" s="50"/>
      <c r="GB300" s="50"/>
      <c r="GC300" s="50"/>
      <c r="GD300" s="50"/>
      <c r="GE300" s="50"/>
      <c r="GF300" s="50"/>
      <c r="GG300" s="50"/>
      <c r="GH300" s="50"/>
      <c r="GI300" s="50"/>
      <c r="GJ300" s="50"/>
      <c r="GK300" s="50"/>
      <c r="GL300" s="50"/>
      <c r="GM300" s="50"/>
      <c r="GN300" s="50"/>
      <c r="GO300" s="50"/>
      <c r="GP300" s="50"/>
      <c r="GQ300" s="50"/>
      <c r="GR300" s="50"/>
      <c r="GS300" s="50"/>
      <c r="GT300" s="50"/>
      <c r="GU300" s="50"/>
      <c r="GV300" s="50"/>
      <c r="GW300" s="50"/>
      <c r="GX300" s="50"/>
      <c r="GY300" s="50"/>
      <c r="GZ300" s="50"/>
      <c r="HA300" s="50"/>
      <c r="HB300" s="50"/>
      <c r="HC300" s="50"/>
      <c r="HD300" s="50"/>
      <c r="HE300" s="50"/>
      <c r="HF300" s="50"/>
      <c r="HG300" s="50"/>
      <c r="HH300" s="50"/>
      <c r="HI300" s="50"/>
      <c r="HJ300" s="50"/>
      <c r="HK300" s="50"/>
      <c r="HL300" s="50"/>
      <c r="HM300" s="50"/>
      <c r="HN300" s="50"/>
      <c r="HO300" s="50"/>
      <c r="HP300" s="50"/>
      <c r="HQ300" s="50"/>
      <c r="HR300" s="50"/>
      <c r="HS300" s="50"/>
      <c r="HT300" s="50"/>
      <c r="HU300" s="50"/>
      <c r="HV300" s="50"/>
      <c r="HW300" s="50"/>
      <c r="HX300" s="50"/>
      <c r="HY300" s="50"/>
      <c r="HZ300" s="50"/>
      <c r="IA300" s="50"/>
      <c r="IB300" s="50"/>
      <c r="IC300" s="50"/>
      <c r="ID300" s="50"/>
      <c r="IE300" s="50"/>
      <c r="IF300" s="50"/>
      <c r="IG300" s="50"/>
      <c r="IH300" s="50"/>
      <c r="II300" s="50"/>
      <c r="IJ300" s="50"/>
      <c r="IK300" s="50"/>
      <c r="IL300" s="50"/>
      <c r="IM300" s="50"/>
      <c r="IN300" s="50"/>
      <c r="IO300" s="50"/>
      <c r="IP300" s="50"/>
      <c r="IQ300" s="50"/>
      <c r="IR300" s="50"/>
      <c r="IS300" s="50"/>
      <c r="IT300" s="50"/>
    </row>
    <row r="301" spans="1:254" ht="15.5">
      <c r="A301" s="49"/>
      <c r="B301" s="50"/>
      <c r="C301" s="50"/>
      <c r="D301" s="50"/>
      <c r="E301" s="50"/>
      <c r="F301" s="51"/>
      <c r="G301" s="51"/>
      <c r="H301" s="51"/>
      <c r="I301" s="49"/>
      <c r="J301" s="57"/>
      <c r="K301" s="57"/>
      <c r="M301" s="23"/>
    </row>
    <row r="302" spans="1:254" ht="15.5">
      <c r="A302" s="49"/>
      <c r="B302" s="50"/>
      <c r="C302" s="50"/>
      <c r="D302" s="50"/>
      <c r="E302" s="50"/>
      <c r="F302" s="51"/>
      <c r="G302" s="51"/>
      <c r="H302" s="51"/>
      <c r="I302" s="49"/>
      <c r="M302" s="23"/>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row>
    <row r="304" spans="1:254">
      <c r="F304" s="21"/>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row>
    <row r="308" spans="6:254">
      <c r="F308" s="21"/>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row>
    <row r="309" spans="6:254">
      <c r="AU309" s="111"/>
    </row>
    <row r="310" spans="6:254">
      <c r="AU310" s="111"/>
    </row>
    <row r="311" spans="6:254">
      <c r="AU311" s="111"/>
    </row>
    <row r="312" spans="6:254">
      <c r="AU312" s="111"/>
    </row>
  </sheetData>
  <sheetProtection formatCells="0" formatColumns="0" formatRows="0" insertColumns="0" insertRows="0" deleteColumns="0" deleteRows="0" sort="0" autoFilter="0"/>
  <mergeCells count="26">
    <mergeCell ref="E3:H3"/>
    <mergeCell ref="A1:M1"/>
    <mergeCell ref="AC3:AE3"/>
    <mergeCell ref="AF3:AF4"/>
    <mergeCell ref="AG3:AO3"/>
    <mergeCell ref="I3:I4"/>
    <mergeCell ref="A3:A4"/>
    <mergeCell ref="B3:B4"/>
    <mergeCell ref="C3:C4"/>
    <mergeCell ref="D3:D4"/>
    <mergeCell ref="AP3:AP4"/>
    <mergeCell ref="J3:L3"/>
    <mergeCell ref="M3:M4"/>
    <mergeCell ref="N3:N4"/>
    <mergeCell ref="O3:O4"/>
    <mergeCell ref="P3:AA3"/>
    <mergeCell ref="AB3:AB4"/>
    <mergeCell ref="B300:C300"/>
    <mergeCell ref="K298:L298"/>
    <mergeCell ref="AQ217:AS217"/>
    <mergeCell ref="AQ221:AS221"/>
    <mergeCell ref="AQ222:AS222"/>
    <mergeCell ref="M248:N248"/>
    <mergeCell ref="M246:N246"/>
    <mergeCell ref="K292:L292"/>
    <mergeCell ref="K299:L299"/>
  </mergeCells>
  <conditionalFormatting sqref="A53:A56">
    <cfRule type="expression" dxfId="55" priority="273" stopIfTrue="1">
      <formula>LEN(TRIM(A53))=0</formula>
    </cfRule>
  </conditionalFormatting>
  <conditionalFormatting sqref="A185:A195">
    <cfRule type="expression" dxfId="54" priority="27" stopIfTrue="1">
      <formula>LEN(TRIM(A185))=0</formula>
    </cfRule>
  </conditionalFormatting>
  <conditionalFormatting sqref="A217:A268">
    <cfRule type="expression" dxfId="53" priority="267" stopIfTrue="1">
      <formula>LEN(TRIM(A217))=0</formula>
    </cfRule>
  </conditionalFormatting>
  <conditionalFormatting sqref="A57:B78">
    <cfRule type="expression" dxfId="52" priority="405" stopIfTrue="1">
      <formula>LEN(TRIM(A57))=0</formula>
    </cfRule>
  </conditionalFormatting>
  <conditionalFormatting sqref="A196:B196">
    <cfRule type="expression" dxfId="51" priority="1032" stopIfTrue="1">
      <formula>LEN(TRIM(A196))=0</formula>
    </cfRule>
  </conditionalFormatting>
  <conditionalFormatting sqref="A269:B274">
    <cfRule type="expression" dxfId="50" priority="881" stopIfTrue="1">
      <formula>LEN(TRIM(A269))=0</formula>
    </cfRule>
  </conditionalFormatting>
  <conditionalFormatting sqref="A5:D52">
    <cfRule type="expression" dxfId="49" priority="30" stopIfTrue="1">
      <formula>LEN(TRIM(A5))=0</formula>
    </cfRule>
  </conditionalFormatting>
  <conditionalFormatting sqref="A79:D184">
    <cfRule type="expression" dxfId="48" priority="1" stopIfTrue="1">
      <formula>LEN(TRIM(A79))=0</formula>
    </cfRule>
  </conditionalFormatting>
  <conditionalFormatting sqref="A197:D198">
    <cfRule type="expression" dxfId="47" priority="2221" stopIfTrue="1">
      <formula>LEN(TRIM(A197))=0</formula>
    </cfRule>
  </conditionalFormatting>
  <conditionalFormatting sqref="B54:B56">
    <cfRule type="expression" dxfId="46" priority="248" stopIfTrue="1">
      <formula>LEN(TRIM(B54))=0</formula>
    </cfRule>
  </conditionalFormatting>
  <conditionalFormatting sqref="B194:B195">
    <cfRule type="expression" dxfId="45" priority="26" stopIfTrue="1">
      <formula>LEN(TRIM(B194))=0</formula>
    </cfRule>
  </conditionalFormatting>
  <conditionalFormatting sqref="B212:B213">
    <cfRule type="expression" dxfId="44" priority="1048" stopIfTrue="1">
      <formula>LEN(TRIM(B212))=0</formula>
    </cfRule>
  </conditionalFormatting>
  <conditionalFormatting sqref="B266:B268">
    <cfRule type="expression" dxfId="43" priority="265" stopIfTrue="1">
      <formula>LEN(TRIM(B266))=0</formula>
    </cfRule>
  </conditionalFormatting>
  <conditionalFormatting sqref="B275:B277">
    <cfRule type="expression" dxfId="42" priority="238" stopIfTrue="1">
      <formula>LEN(TRIM(B275))=0</formula>
    </cfRule>
  </conditionalFormatting>
  <conditionalFormatting sqref="B53:D53">
    <cfRule type="expression" dxfId="41" priority="723" stopIfTrue="1">
      <formula>LEN(TRIM(B53))=0</formula>
    </cfRule>
  </conditionalFormatting>
  <conditionalFormatting sqref="B185:D193">
    <cfRule type="expression" dxfId="40" priority="1363" stopIfTrue="1">
      <formula>LEN(TRIM(B185))=0</formula>
    </cfRule>
  </conditionalFormatting>
  <conditionalFormatting sqref="B199:D211">
    <cfRule type="expression" dxfId="39" priority="1202" stopIfTrue="1">
      <formula>LEN(TRIM(B199))=0</formula>
    </cfRule>
  </conditionalFormatting>
  <conditionalFormatting sqref="B221:D265">
    <cfRule type="expression" dxfId="38" priority="2" stopIfTrue="1">
      <formula>LEN(TRIM(B221))=0</formula>
    </cfRule>
  </conditionalFormatting>
  <conditionalFormatting sqref="B278:D283">
    <cfRule type="expression" dxfId="37" priority="868" stopIfTrue="1">
      <formula>LEN(TRIM(B278))=0</formula>
    </cfRule>
  </conditionalFormatting>
  <conditionalFormatting sqref="C54:D78">
    <cfRule type="expression" dxfId="36" priority="244" stopIfTrue="1">
      <formula>LEN(TRIM(C54))=0</formula>
    </cfRule>
  </conditionalFormatting>
  <conditionalFormatting sqref="C194:D196">
    <cfRule type="expression" dxfId="35" priority="20" stopIfTrue="1">
      <formula>LEN(TRIM(C194))=0</formula>
    </cfRule>
  </conditionalFormatting>
  <conditionalFormatting sqref="C212:D216">
    <cfRule type="expression" dxfId="34" priority="353" stopIfTrue="1">
      <formula>LEN(TRIM(C212))=0</formula>
    </cfRule>
  </conditionalFormatting>
  <conditionalFormatting sqref="C266:D277">
    <cfRule type="expression" dxfId="33" priority="235" stopIfTrue="1">
      <formula>LEN(TRIM(C266))=0</formula>
    </cfRule>
  </conditionalFormatting>
  <conditionalFormatting sqref="D229:E229">
    <cfRule type="expression" dxfId="32" priority="284" stopIfTrue="1">
      <formula>LEN(TRIM(D229))=0</formula>
    </cfRule>
  </conditionalFormatting>
  <conditionalFormatting sqref="E5:H228">
    <cfRule type="cellIs" dxfId="31" priority="15" stopIfTrue="1" operator="equal">
      <formula>"Indicate Date"</formula>
    </cfRule>
  </conditionalFormatting>
  <conditionalFormatting sqref="E230:H283">
    <cfRule type="cellIs" dxfId="30" priority="5" stopIfTrue="1" operator="equal">
      <formula>"Indicate Date"</formula>
    </cfRule>
  </conditionalFormatting>
  <conditionalFormatting sqref="E229:I229">
    <cfRule type="cellIs" dxfId="29" priority="340" stopIfTrue="1" operator="equal">
      <formula>"Indicate Date"</formula>
    </cfRule>
  </conditionalFormatting>
  <conditionalFormatting sqref="I5:I283">
    <cfRule type="expression" dxfId="28" priority="16" stopIfTrue="1">
      <formula>LEN(TRIM(I5))=0</formula>
    </cfRule>
  </conditionalFormatting>
  <conditionalFormatting sqref="J5:J125">
    <cfRule type="cellIs" dxfId="27" priority="43" stopIfTrue="1" operator="equal">
      <formula>0</formula>
    </cfRule>
  </conditionalFormatting>
  <conditionalFormatting sqref="J126">
    <cfRule type="expression" dxfId="26" priority="11" stopIfTrue="1">
      <formula>LEN(TRIM(J126))=0</formula>
    </cfRule>
  </conditionalFormatting>
  <conditionalFormatting sqref="J127:J214">
    <cfRule type="cellIs" dxfId="25" priority="12" stopIfTrue="1" operator="equal">
      <formula>0</formula>
    </cfRule>
  </conditionalFormatting>
  <conditionalFormatting sqref="J217:J228">
    <cfRule type="cellIs" dxfId="24" priority="286" stopIfTrue="1" operator="equal">
      <formula>0</formula>
    </cfRule>
  </conditionalFormatting>
  <conditionalFormatting sqref="J227:J229">
    <cfRule type="expression" dxfId="23" priority="329" stopIfTrue="1">
      <formula>LEN(TRIM(J227))=0</formula>
    </cfRule>
  </conditionalFormatting>
  <conditionalFormatting sqref="J230:J287">
    <cfRule type="cellIs" dxfId="22" priority="158" stopIfTrue="1" operator="equal">
      <formula>0</formula>
    </cfRule>
  </conditionalFormatting>
  <conditionalFormatting sqref="J213:K216">
    <cfRule type="cellIs" dxfId="21" priority="351" stopIfTrue="1" operator="equal">
      <formula>0</formula>
    </cfRule>
  </conditionalFormatting>
  <conditionalFormatting sqref="J229:K229">
    <cfRule type="cellIs" dxfId="20" priority="335" stopIfTrue="1" operator="equal">
      <formula>0</formula>
    </cfRule>
  </conditionalFormatting>
  <conditionalFormatting sqref="K5:K146">
    <cfRule type="expression" dxfId="19" priority="8" stopIfTrue="1">
      <formula>LEN(TRIM(K5))=0</formula>
    </cfRule>
  </conditionalFormatting>
  <conditionalFormatting sqref="K146:K149">
    <cfRule type="cellIs" dxfId="18" priority="323" stopIfTrue="1" operator="equal">
      <formula>0</formula>
    </cfRule>
  </conditionalFormatting>
  <conditionalFormatting sqref="K178:K179">
    <cfRule type="cellIs" dxfId="17" priority="318" stopIfTrue="1" operator="equal">
      <formula>0</formula>
    </cfRule>
  </conditionalFormatting>
  <conditionalFormatting sqref="K180:K212">
    <cfRule type="expression" dxfId="16" priority="18" stopIfTrue="1">
      <formula>LEN(TRIM(K180))=0</formula>
    </cfRule>
  </conditionalFormatting>
  <conditionalFormatting sqref="K217:K226">
    <cfRule type="expression" dxfId="15" priority="6" stopIfTrue="1">
      <formula>LEN(TRIM(K217))=0</formula>
    </cfRule>
  </conditionalFormatting>
  <conditionalFormatting sqref="K227:K228">
    <cfRule type="cellIs" dxfId="14" priority="285" stopIfTrue="1" operator="equal">
      <formula>0</formula>
    </cfRule>
  </conditionalFormatting>
  <conditionalFormatting sqref="K230:K242">
    <cfRule type="expression" dxfId="13" priority="860" stopIfTrue="1">
      <formula>LEN(TRIM(K230))=0</formula>
    </cfRule>
  </conditionalFormatting>
  <conditionalFormatting sqref="K243:K246">
    <cfRule type="cellIs" dxfId="12" priority="295" stopIfTrue="1" operator="equal">
      <formula>0</formula>
    </cfRule>
  </conditionalFormatting>
  <conditionalFormatting sqref="K247:K283">
    <cfRule type="expression" dxfId="11" priority="157" stopIfTrue="1">
      <formula>LEN(TRIM(K247))=0</formula>
    </cfRule>
  </conditionalFormatting>
  <conditionalFormatting sqref="K284:K287">
    <cfRule type="cellIs" dxfId="10" priority="7" stopIfTrue="1" operator="equal">
      <formula>0</formula>
    </cfRule>
  </conditionalFormatting>
  <conditionalFormatting sqref="M47:M48">
    <cfRule type="expression" dxfId="9" priority="268" stopIfTrue="1">
      <formula>LEN(TRIM(M47))=0</formula>
    </cfRule>
  </conditionalFormatting>
  <conditionalFormatting sqref="M147:M149">
    <cfRule type="expression" dxfId="8" priority="322" stopIfTrue="1">
      <formula>LEN(TRIM(M147))=0</formula>
    </cfRule>
  </conditionalFormatting>
  <conditionalFormatting sqref="M179:M180">
    <cfRule type="expression" dxfId="7" priority="315" stopIfTrue="1">
      <formula>LEN(TRIM(M179))=0</formula>
    </cfRule>
  </conditionalFormatting>
  <conditionalFormatting sqref="M213:M216">
    <cfRule type="expression" dxfId="6" priority="343" stopIfTrue="1">
      <formula>LEN(TRIM(M213))=0</formula>
    </cfRule>
  </conditionalFormatting>
  <conditionalFormatting sqref="M228">
    <cfRule type="expression" dxfId="5" priority="328" stopIfTrue="1">
      <formula>LEN(TRIM(M228))=0</formula>
    </cfRule>
  </conditionalFormatting>
  <conditionalFormatting sqref="M244:M245">
    <cfRule type="expression" dxfId="4" priority="220" stopIfTrue="1">
      <formula>LEN(TRIM(M244))=0</formula>
    </cfRule>
  </conditionalFormatting>
  <conditionalFormatting sqref="N5:AA100 AC5:AD100 AF5:AN100 AP5:AP100 A199:A213 A214:B216 A217:D220 O246:AA246 N247:AA247 O248:AA248">
    <cfRule type="expression" dxfId="3" priority="2502" stopIfTrue="1">
      <formula>LEN(TRIM(A5))=0</formula>
    </cfRule>
  </conditionalFormatting>
  <conditionalFormatting sqref="N107:AA245 K150:K177">
    <cfRule type="expression" dxfId="2" priority="255" stopIfTrue="1">
      <formula>LEN(TRIM(K107))=0</formula>
    </cfRule>
  </conditionalFormatting>
  <conditionalFormatting sqref="N101:XFD106">
    <cfRule type="expression" dxfId="1" priority="649" stopIfTrue="1">
      <formula>LEN(TRIM(N101))=0</formula>
    </cfRule>
  </conditionalFormatting>
  <conditionalFormatting sqref="AC107:AD287 AF107:AN287 AP107:AP287 N249:AA287 A275:A283">
    <cfRule type="expression" dxfId="0" priority="239" stopIfTrue="1">
      <formula>LEN(TRIM(A107))=0</formula>
    </cfRule>
  </conditionalFormatting>
  <dataValidations count="1">
    <dataValidation type="list" allowBlank="1" showErrorMessage="1" sqref="I179:I183 D147:D149 D179:D183 D229 I229 I147:I149 D244:D246 D215:D220" xr:uid="{00000000-0002-0000-0000-000000000000}">
      <formula1>#REF!</formula1>
    </dataValidation>
  </dataValidations>
  <pageMargins left="1.5748031496062993" right="7.874015748031496E-2" top="0.31496062992125984" bottom="0.31496062992125984" header="0.98425196850393704" footer="0.59055118110236227"/>
  <pageSetup paperSize="5" scale="55" fitToHeight="0" pageOrder="overThenDown" orientation="landscape" r:id="rId1"/>
  <headerFooter alignWithMargins="0"/>
  <rowBreaks count="10" manualBreakCount="10">
    <brk id="33" max="12" man="1"/>
    <brk id="62" max="12" man="1"/>
    <brk id="95" max="12" man="1"/>
    <brk id="121" max="12" man="1"/>
    <brk id="144" max="12" man="1"/>
    <brk id="165" max="12" man="1"/>
    <brk id="188" max="12" man="1"/>
    <brk id="211" max="12" man="1"/>
    <brk id="243" max="12" man="1"/>
    <brk id="265" max="12" man="1"/>
  </rowBreaks>
  <extLst>
    <ext xmlns:x14="http://schemas.microsoft.com/office/spreadsheetml/2009/9/main" uri="{CCE6A557-97BC-4b89-ADB6-D9C93CAAB3DF}">
      <x14:dataValidations xmlns:xm="http://schemas.microsoft.com/office/excel/2006/main" count="3">
        <x14:dataValidation type="list" allowBlank="1" showErrorMessage="1" xr:uid="{00000000-0002-0000-0000-000001000000}">
          <x14:formula1>
            <xm:f>data_validation!$A$1:$A$19</xm:f>
          </x14:formula1>
          <xm:sqref>D230:D243 D150:D178 D221:D228 D247:D287 D184:D214 D5:D146</xm:sqref>
        </x14:dataValidation>
        <x14:dataValidation type="list" allowBlank="1" showErrorMessage="1" xr:uid="{00000000-0002-0000-0000-000002000000}">
          <x14:formula1>
            <xm:f>data_validation!$B$1:$B$6</xm:f>
          </x14:formula1>
          <xm:sqref>I150:I178 I230:I243 I221:I228 I5:I146 I184:I194 I196:I214 I247 I249:I287</xm:sqref>
        </x14:dataValidation>
        <x14:dataValidation type="list" allowBlank="1" showErrorMessage="1" xr:uid="{00000000-0002-0000-0000-000003000000}">
          <x14:formula1>
            <xm:f>data_validation!#REF!</xm:f>
          </x14:formula1>
          <xm:sqref>I195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7"/>
  <sheetViews>
    <sheetView topLeftCell="A3" zoomScale="115" zoomScaleNormal="115" workbookViewId="0">
      <selection activeCell="A8" sqref="A8"/>
    </sheetView>
  </sheetViews>
  <sheetFormatPr defaultColWidth="9" defaultRowHeight="14"/>
  <cols>
    <col min="1" max="1" width="6.83203125" style="20" customWidth="1"/>
    <col min="2" max="2" width="95.33203125" style="20" customWidth="1"/>
    <col min="3" max="3" width="20.25" style="20" customWidth="1"/>
    <col min="4" max="256" width="8.33203125" style="20" customWidth="1"/>
    <col min="257" max="1024" width="9" style="20" customWidth="1"/>
    <col min="1025" max="16384" width="9" style="20"/>
  </cols>
  <sheetData>
    <row r="1" spans="1:8">
      <c r="A1" s="5"/>
      <c r="B1" s="6" t="s">
        <v>48</v>
      </c>
      <c r="C1" s="154" t="s">
        <v>49</v>
      </c>
      <c r="D1" s="154"/>
      <c r="E1" s="154"/>
      <c r="F1" s="154"/>
      <c r="G1" s="154"/>
      <c r="H1" s="1"/>
    </row>
    <row r="2" spans="1:8" ht="43.5" customHeight="1">
      <c r="A2" s="7" t="s">
        <v>50</v>
      </c>
      <c r="B2" s="2" t="s">
        <v>51</v>
      </c>
      <c r="C2" s="8" t="s">
        <v>1</v>
      </c>
      <c r="D2" s="9"/>
      <c r="E2" s="9"/>
      <c r="F2" s="9"/>
      <c r="G2" s="9"/>
      <c r="H2" s="1"/>
    </row>
    <row r="3" spans="1:8" ht="49.5" customHeight="1">
      <c r="A3" s="7" t="s">
        <v>52</v>
      </c>
      <c r="B3" s="10" t="s">
        <v>53</v>
      </c>
      <c r="C3" s="11" t="s">
        <v>2</v>
      </c>
      <c r="D3" s="9"/>
      <c r="E3" s="9"/>
      <c r="F3" s="9"/>
      <c r="G3" s="9"/>
      <c r="H3" s="1"/>
    </row>
    <row r="4" spans="1:8" ht="45.75" customHeight="1">
      <c r="A4" s="7" t="s">
        <v>54</v>
      </c>
      <c r="B4" s="10" t="s">
        <v>55</v>
      </c>
      <c r="C4" s="11" t="s">
        <v>56</v>
      </c>
      <c r="D4" s="9"/>
      <c r="E4" s="9"/>
      <c r="F4" s="9"/>
      <c r="G4" s="9"/>
      <c r="H4" s="1"/>
    </row>
    <row r="5" spans="1:8" ht="66" customHeight="1">
      <c r="A5" s="155" t="s">
        <v>57</v>
      </c>
      <c r="B5" s="156" t="s">
        <v>58</v>
      </c>
      <c r="C5" s="157" t="s">
        <v>4</v>
      </c>
      <c r="D5" s="157" t="s">
        <v>5</v>
      </c>
      <c r="E5" s="157"/>
      <c r="F5" s="157"/>
      <c r="G5" s="157"/>
      <c r="H5" s="1"/>
    </row>
    <row r="6" spans="1:8" ht="47.25" customHeight="1">
      <c r="A6" s="155"/>
      <c r="B6" s="156"/>
      <c r="C6" s="157"/>
      <c r="D6" s="12" t="s">
        <v>59</v>
      </c>
      <c r="E6" s="12" t="s">
        <v>22</v>
      </c>
      <c r="F6" s="12" t="s">
        <v>13</v>
      </c>
      <c r="G6" s="12" t="s">
        <v>14</v>
      </c>
      <c r="H6" s="1"/>
    </row>
    <row r="7" spans="1:8" ht="42.75" customHeight="1">
      <c r="A7" s="7" t="s">
        <v>60</v>
      </c>
      <c r="B7" s="10" t="s">
        <v>61</v>
      </c>
      <c r="C7" s="11" t="s">
        <v>6</v>
      </c>
      <c r="D7" s="9"/>
      <c r="E7" s="9"/>
      <c r="F7" s="9"/>
      <c r="G7" s="9"/>
      <c r="H7" s="1"/>
    </row>
    <row r="8" spans="1:8" ht="38">
      <c r="A8" s="7" t="s">
        <v>62</v>
      </c>
      <c r="B8" s="10" t="s">
        <v>63</v>
      </c>
      <c r="C8" s="11" t="s">
        <v>7</v>
      </c>
      <c r="D8" s="9"/>
      <c r="E8" s="9"/>
      <c r="F8" s="9"/>
      <c r="G8" s="9"/>
      <c r="H8" s="1"/>
    </row>
    <row r="9" spans="1:8">
      <c r="A9" s="7" t="s">
        <v>64</v>
      </c>
      <c r="B9" s="13" t="s">
        <v>65</v>
      </c>
      <c r="C9" s="14"/>
      <c r="D9" s="5"/>
      <c r="E9" s="5"/>
      <c r="F9" s="5"/>
      <c r="G9" s="5"/>
      <c r="H9" s="1"/>
    </row>
    <row r="10" spans="1:8">
      <c r="A10" s="5"/>
      <c r="B10" s="5"/>
      <c r="C10" s="5"/>
      <c r="D10" s="5"/>
      <c r="E10" s="5"/>
      <c r="F10" s="5"/>
      <c r="G10" s="5"/>
      <c r="H10" s="1"/>
    </row>
    <row r="11" spans="1:8">
      <c r="A11" s="5"/>
      <c r="B11" s="5"/>
      <c r="C11" s="5"/>
      <c r="D11" s="5"/>
      <c r="E11" s="5"/>
      <c r="F11" t="str">
        <f>IF(D11="","",IF((OR(D11=[1]data_validation!A$1,D11=[1]data_validation!A$2)),"Input Date","N/A"))</f>
        <v/>
      </c>
      <c r="G11" s="5"/>
      <c r="H11" s="1"/>
    </row>
    <row r="12" spans="1:8">
      <c r="A12" s="15"/>
      <c r="B12" s="7" t="s">
        <v>66</v>
      </c>
      <c r="C12" s="5"/>
      <c r="D12" s="5"/>
      <c r="E12" s="5"/>
      <c r="F12" s="5"/>
      <c r="G12" s="5"/>
      <c r="H12" s="1"/>
    </row>
    <row r="13" spans="1:8" ht="25.5">
      <c r="A13" s="16" t="s">
        <v>67</v>
      </c>
      <c r="B13" s="17" t="s">
        <v>68</v>
      </c>
      <c r="C13" s="5"/>
      <c r="D13" s="5"/>
      <c r="E13" s="5"/>
      <c r="F13" s="5"/>
      <c r="G13" s="5"/>
      <c r="H13" s="1"/>
    </row>
    <row r="14" spans="1:8" ht="38">
      <c r="A14" s="16" t="s">
        <v>69</v>
      </c>
      <c r="B14" s="13" t="s">
        <v>70</v>
      </c>
      <c r="C14" s="5"/>
      <c r="D14" s="5"/>
      <c r="E14" s="5"/>
      <c r="F14" s="5"/>
      <c r="G14" s="5"/>
      <c r="H14" s="1"/>
    </row>
    <row r="15" spans="1:8" ht="25.5">
      <c r="A15" s="16" t="s">
        <v>71</v>
      </c>
      <c r="B15" s="13" t="s">
        <v>72</v>
      </c>
      <c r="C15" s="5"/>
      <c r="D15" s="5"/>
      <c r="E15" s="5"/>
      <c r="F15" s="5"/>
      <c r="G15" s="5"/>
      <c r="H15" s="1"/>
    </row>
    <row r="16" spans="1:8" ht="75.5">
      <c r="A16" s="16" t="s">
        <v>73</v>
      </c>
      <c r="B16" s="3" t="s">
        <v>74</v>
      </c>
      <c r="C16" s="5"/>
      <c r="D16" s="5"/>
      <c r="E16" s="5"/>
      <c r="F16" s="5"/>
      <c r="G16" s="5"/>
      <c r="H16" s="1"/>
    </row>
    <row r="17" spans="1:8">
      <c r="A17" s="5"/>
      <c r="B17" s="5"/>
      <c r="C17" s="5"/>
      <c r="D17" s="5"/>
      <c r="E17" s="5"/>
      <c r="F17" s="5"/>
      <c r="G17" s="5"/>
      <c r="H17" s="1"/>
    </row>
    <row r="18" spans="1:8">
      <c r="A18" s="5"/>
      <c r="B18" s="18" t="s">
        <v>75</v>
      </c>
      <c r="C18" s="5"/>
      <c r="D18" s="5"/>
      <c r="E18" s="5"/>
      <c r="F18" s="5"/>
      <c r="G18" s="5"/>
      <c r="H18" s="1"/>
    </row>
    <row r="19" spans="1:8" ht="56">
      <c r="A19" s="5"/>
      <c r="B19" s="19" t="s">
        <v>76</v>
      </c>
      <c r="C19" s="5"/>
      <c r="D19" s="5"/>
      <c r="E19" s="5"/>
      <c r="F19" s="5"/>
      <c r="G19" s="5"/>
      <c r="H19" s="1"/>
    </row>
    <row r="20" spans="1:8" ht="28">
      <c r="A20" s="5"/>
      <c r="B20" s="19" t="s">
        <v>77</v>
      </c>
      <c r="C20" s="5"/>
      <c r="D20" s="5"/>
      <c r="E20" s="5"/>
      <c r="F20" s="5"/>
      <c r="G20" s="5"/>
      <c r="H20" s="1"/>
    </row>
    <row r="21" spans="1:8">
      <c r="A21" s="5"/>
      <c r="B21" s="19" t="s">
        <v>78</v>
      </c>
      <c r="C21" s="5"/>
      <c r="D21" s="5"/>
      <c r="E21" s="5"/>
      <c r="F21" s="5"/>
      <c r="G21" s="5"/>
      <c r="H21" s="1"/>
    </row>
    <row r="22" spans="1:8" ht="28">
      <c r="A22" s="5"/>
      <c r="B22" s="19" t="s">
        <v>79</v>
      </c>
      <c r="C22" s="5"/>
      <c r="D22" s="5"/>
      <c r="E22" s="5"/>
      <c r="F22" s="5"/>
      <c r="G22" s="5"/>
      <c r="H22" s="1"/>
    </row>
    <row r="23" spans="1:8" ht="28">
      <c r="A23" s="5"/>
      <c r="B23" s="19" t="s">
        <v>80</v>
      </c>
      <c r="C23" s="5"/>
      <c r="D23" s="5"/>
      <c r="E23" s="5"/>
      <c r="F23" s="5"/>
      <c r="G23" s="5"/>
      <c r="H23" s="1"/>
    </row>
    <row r="24" spans="1:8">
      <c r="A24" s="5"/>
      <c r="B24" s="19" t="s">
        <v>81</v>
      </c>
      <c r="C24" s="5"/>
      <c r="D24" s="5"/>
      <c r="E24" s="5"/>
      <c r="F24" s="5"/>
      <c r="G24" s="5"/>
      <c r="H24" s="1"/>
    </row>
    <row r="25" spans="1:8">
      <c r="A25" s="5"/>
      <c r="B25" s="19" t="s">
        <v>82</v>
      </c>
      <c r="C25" s="5"/>
      <c r="D25" s="5"/>
      <c r="E25" s="5"/>
      <c r="F25" s="5"/>
      <c r="G25" s="5"/>
      <c r="H25" s="1"/>
    </row>
    <row r="26" spans="1:8">
      <c r="A26" s="5"/>
      <c r="B26" s="19" t="s">
        <v>83</v>
      </c>
      <c r="C26" s="5"/>
      <c r="D26" s="5"/>
      <c r="E26" s="5"/>
      <c r="F26" s="5"/>
      <c r="G26" s="5"/>
      <c r="H26" s="1"/>
    </row>
    <row r="27" spans="1:8">
      <c r="A27" s="1"/>
      <c r="B27" s="1"/>
      <c r="C27" s="1"/>
      <c r="D27" s="1"/>
      <c r="E27" s="1"/>
      <c r="F27" s="1"/>
      <c r="G27" s="1"/>
      <c r="H27" s="1"/>
    </row>
  </sheetData>
  <mergeCells count="5">
    <mergeCell ref="C1:G1"/>
    <mergeCell ref="A5:A6"/>
    <mergeCell ref="B5:B6"/>
    <mergeCell ref="C5:C6"/>
    <mergeCell ref="D5:G5"/>
  </mergeCells>
  <hyperlinks>
    <hyperlink ref="B2" r:id="rId1" xr:uid="{00000000-0004-0000-0100-000000000000}"/>
    <hyperlink ref="B16" r:id="rId2" xr:uid="{00000000-0004-0000-0100-000001000000}"/>
  </hyperlinks>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9"/>
  <sheetViews>
    <sheetView workbookViewId="0"/>
  </sheetViews>
  <sheetFormatPr defaultRowHeight="14"/>
  <cols>
    <col min="1" max="1" width="24.75" customWidth="1"/>
    <col min="2" max="256" width="8.33203125" customWidth="1"/>
    <col min="257" max="1024" width="9" customWidth="1"/>
  </cols>
  <sheetData>
    <row r="1" spans="1:2">
      <c r="A1" s="4" t="s">
        <v>30</v>
      </c>
      <c r="B1" s="4" t="s">
        <v>84</v>
      </c>
    </row>
    <row r="2" spans="1:2">
      <c r="A2" s="4" t="s">
        <v>31</v>
      </c>
      <c r="B2" s="4" t="s">
        <v>85</v>
      </c>
    </row>
    <row r="3" spans="1:2">
      <c r="A3" s="4" t="s">
        <v>32</v>
      </c>
      <c r="B3" s="4" t="s">
        <v>86</v>
      </c>
    </row>
    <row r="4" spans="1:2">
      <c r="A4" s="4" t="s">
        <v>33</v>
      </c>
      <c r="B4" s="4" t="s">
        <v>87</v>
      </c>
    </row>
    <row r="5" spans="1:2">
      <c r="A5" s="4" t="s">
        <v>34</v>
      </c>
      <c r="B5" s="4" t="s">
        <v>88</v>
      </c>
    </row>
    <row r="6" spans="1:2">
      <c r="A6" s="4" t="s">
        <v>35</v>
      </c>
      <c r="B6" s="4" t="s">
        <v>89</v>
      </c>
    </row>
    <row r="7" spans="1:2">
      <c r="A7" s="4" t="s">
        <v>36</v>
      </c>
      <c r="B7" s="4"/>
    </row>
    <row r="8" spans="1:2">
      <c r="A8" s="4" t="s">
        <v>37</v>
      </c>
    </row>
    <row r="9" spans="1:2">
      <c r="A9" s="4" t="s">
        <v>38</v>
      </c>
    </row>
    <row r="10" spans="1:2">
      <c r="A10" s="4" t="s">
        <v>39</v>
      </c>
      <c r="B10" s="4"/>
    </row>
    <row r="11" spans="1:2">
      <c r="A11" s="4" t="s">
        <v>40</v>
      </c>
    </row>
    <row r="12" spans="1:2">
      <c r="A12" s="4" t="s">
        <v>41</v>
      </c>
    </row>
    <row r="13" spans="1:2">
      <c r="A13" s="4" t="s">
        <v>42</v>
      </c>
    </row>
    <row r="14" spans="1:2">
      <c r="A14" s="4" t="s">
        <v>43</v>
      </c>
      <c r="B14" s="4"/>
    </row>
    <row r="15" spans="1:2">
      <c r="A15" s="4" t="s">
        <v>44</v>
      </c>
    </row>
    <row r="16" spans="1:2">
      <c r="A16" s="4" t="s">
        <v>45</v>
      </c>
    </row>
    <row r="17" spans="1:1">
      <c r="A17" s="4" t="s">
        <v>46</v>
      </c>
    </row>
    <row r="18" spans="1:1">
      <c r="A18" s="4" t="s">
        <v>47</v>
      </c>
    </row>
    <row r="19" spans="1:1">
      <c r="A19" t="s">
        <v>90</v>
      </c>
    </row>
  </sheetData>
  <pageMargins left="0.70000000000000007" right="0.70000000000000007" top="1.0457000000000001" bottom="1.0457000000000001" header="0.75000000000000011" footer="0.75000000000000011"/>
  <pageSetup paperSize="0" fitToWidth="0" fitToHeight="0" pageOrder="overThenDown"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33</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app</vt:lpstr>
      <vt:lpstr>how_to_fill_out-definitions</vt:lpstr>
      <vt:lpstr>data_validation</vt:lpstr>
      <vt:lpstr>app!Print_Area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DSWD</cp:lastModifiedBy>
  <cp:revision>8</cp:revision>
  <cp:lastPrinted>2024-01-31T13:30:01Z</cp:lastPrinted>
  <dcterms:created xsi:type="dcterms:W3CDTF">2017-12-08T03:24:52Z</dcterms:created>
  <dcterms:modified xsi:type="dcterms:W3CDTF">2024-01-31T14:26:10Z</dcterms:modified>
</cp:coreProperties>
</file>